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ros\Documents\Lectures\101\"/>
    </mc:Choice>
  </mc:AlternateContent>
  <xr:revisionPtr revIDLastSave="0" documentId="13_ncr:1_{2D78577B-723C-4183-8DF2-6CD03082B63F}" xr6:coauthVersionLast="36" xr6:coauthVersionMax="36" xr10:uidLastSave="{00000000-0000-0000-0000-000000000000}"/>
  <bookViews>
    <workbookView xWindow="0" yWindow="0" windowWidth="20490" windowHeight="7395" xr2:uid="{00000000-000D-0000-FFFF-FFFF00000000}"/>
  </bookViews>
  <sheets>
    <sheet name="AllStocks" sheetId="1" r:id="rId1"/>
    <sheet name="Prices12_1" sheetId="2" r:id="rId2"/>
    <sheet name="Price11_25" sheetId="3" r:id="rId3"/>
  </sheets>
  <calcPr calcId="179021"/>
</workbook>
</file>

<file path=xl/calcChain.xml><?xml version="1.0" encoding="utf-8"?>
<calcChain xmlns="http://schemas.openxmlformats.org/spreadsheetml/2006/main">
  <c r="M504" i="1" l="1"/>
  <c r="L504" i="1"/>
  <c r="K504" i="1"/>
  <c r="J504" i="1"/>
  <c r="I504" i="1"/>
  <c r="H504" i="1"/>
  <c r="G504" i="1"/>
  <c r="F504" i="1"/>
  <c r="E504" i="1"/>
  <c r="D504" i="1"/>
  <c r="C504" i="1"/>
  <c r="B504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90" i="1"/>
  <c r="L90" i="1"/>
  <c r="K90" i="1"/>
  <c r="J90" i="1"/>
  <c r="I90" i="1"/>
  <c r="H90" i="1"/>
  <c r="G90" i="1"/>
  <c r="F90" i="1"/>
  <c r="E90" i="1"/>
  <c r="D90" i="1"/>
  <c r="C90" i="1"/>
  <c r="B90" i="1"/>
  <c r="M89" i="1"/>
  <c r="L89" i="1"/>
  <c r="K89" i="1"/>
  <c r="J89" i="1"/>
  <c r="I89" i="1"/>
  <c r="H89" i="1"/>
  <c r="G89" i="1"/>
  <c r="F89" i="1"/>
  <c r="E89" i="1"/>
  <c r="D89" i="1"/>
  <c r="C89" i="1"/>
  <c r="B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K87" i="1"/>
  <c r="J87" i="1"/>
  <c r="I87" i="1"/>
  <c r="H87" i="1"/>
  <c r="G87" i="1"/>
  <c r="F87" i="1"/>
  <c r="E87" i="1"/>
  <c r="D87" i="1"/>
  <c r="C87" i="1"/>
  <c r="B87" i="1"/>
  <c r="M86" i="1"/>
  <c r="L86" i="1"/>
  <c r="K86" i="1"/>
  <c r="J86" i="1"/>
  <c r="I86" i="1"/>
  <c r="H86" i="1"/>
  <c r="G86" i="1"/>
  <c r="F86" i="1"/>
  <c r="E86" i="1"/>
  <c r="D86" i="1"/>
  <c r="C86" i="1"/>
  <c r="B86" i="1"/>
  <c r="M85" i="1"/>
  <c r="L85" i="1"/>
  <c r="K85" i="1"/>
  <c r="J85" i="1"/>
  <c r="I85" i="1"/>
  <c r="H85" i="1"/>
  <c r="G85" i="1"/>
  <c r="F85" i="1"/>
  <c r="E85" i="1"/>
  <c r="D85" i="1"/>
  <c r="C85" i="1"/>
  <c r="B85" i="1"/>
  <c r="M84" i="1"/>
  <c r="L84" i="1"/>
  <c r="K84" i="1"/>
  <c r="J84" i="1"/>
  <c r="I84" i="1"/>
  <c r="H84" i="1"/>
  <c r="G84" i="1"/>
  <c r="F84" i="1"/>
  <c r="E84" i="1"/>
  <c r="D84" i="1"/>
  <c r="C84" i="1"/>
  <c r="B84" i="1"/>
  <c r="M83" i="1"/>
  <c r="L83" i="1"/>
  <c r="K83" i="1"/>
  <c r="J83" i="1"/>
  <c r="I83" i="1"/>
  <c r="H83" i="1"/>
  <c r="G83" i="1"/>
  <c r="F83" i="1"/>
  <c r="E83" i="1"/>
  <c r="D83" i="1"/>
  <c r="C83" i="1"/>
  <c r="B83" i="1"/>
  <c r="M82" i="1"/>
  <c r="L82" i="1"/>
  <c r="K82" i="1"/>
  <c r="J82" i="1"/>
  <c r="I82" i="1"/>
  <c r="H82" i="1"/>
  <c r="G82" i="1"/>
  <c r="F82" i="1"/>
  <c r="E82" i="1"/>
  <c r="D82" i="1"/>
  <c r="C82" i="1"/>
  <c r="B82" i="1"/>
  <c r="M81" i="1"/>
  <c r="L81" i="1"/>
  <c r="K81" i="1"/>
  <c r="J81" i="1"/>
  <c r="I81" i="1"/>
  <c r="H81" i="1"/>
  <c r="G81" i="1"/>
  <c r="F81" i="1"/>
  <c r="E81" i="1"/>
  <c r="D81" i="1"/>
  <c r="C81" i="1"/>
  <c r="B81" i="1"/>
  <c r="M80" i="1"/>
  <c r="L80" i="1"/>
  <c r="K80" i="1"/>
  <c r="J80" i="1"/>
  <c r="I80" i="1"/>
  <c r="H80" i="1"/>
  <c r="G80" i="1"/>
  <c r="F80" i="1"/>
  <c r="E80" i="1"/>
  <c r="D80" i="1"/>
  <c r="C80" i="1"/>
  <c r="B80" i="1"/>
  <c r="M79" i="1"/>
  <c r="L79" i="1"/>
  <c r="K79" i="1"/>
  <c r="J79" i="1"/>
  <c r="I79" i="1"/>
  <c r="H79" i="1"/>
  <c r="G79" i="1"/>
  <c r="F79" i="1"/>
  <c r="E79" i="1"/>
  <c r="D79" i="1"/>
  <c r="C79" i="1"/>
  <c r="B79" i="1"/>
  <c r="M78" i="1"/>
  <c r="L78" i="1"/>
  <c r="K78" i="1"/>
  <c r="J78" i="1"/>
  <c r="I78" i="1"/>
  <c r="H78" i="1"/>
  <c r="G78" i="1"/>
  <c r="F78" i="1"/>
  <c r="E78" i="1"/>
  <c r="D78" i="1"/>
  <c r="C78" i="1"/>
  <c r="B78" i="1"/>
  <c r="M77" i="1"/>
  <c r="L77" i="1"/>
  <c r="K77" i="1"/>
  <c r="J77" i="1"/>
  <c r="I77" i="1"/>
  <c r="H77" i="1"/>
  <c r="G77" i="1"/>
  <c r="F77" i="1"/>
  <c r="E77" i="1"/>
  <c r="D77" i="1"/>
  <c r="C77" i="1"/>
  <c r="B77" i="1"/>
  <c r="M76" i="1"/>
  <c r="L76" i="1"/>
  <c r="K76" i="1"/>
  <c r="J76" i="1"/>
  <c r="I76" i="1"/>
  <c r="H76" i="1"/>
  <c r="G76" i="1"/>
  <c r="F76" i="1"/>
  <c r="E76" i="1"/>
  <c r="D76" i="1"/>
  <c r="C76" i="1"/>
  <c r="B76" i="1"/>
  <c r="M75" i="1"/>
  <c r="L75" i="1"/>
  <c r="K75" i="1"/>
  <c r="J75" i="1"/>
  <c r="I75" i="1"/>
  <c r="H75" i="1"/>
  <c r="G75" i="1"/>
  <c r="F75" i="1"/>
  <c r="E75" i="1"/>
  <c r="D75" i="1"/>
  <c r="C75" i="1"/>
  <c r="B75" i="1"/>
  <c r="M74" i="1"/>
  <c r="L74" i="1"/>
  <c r="K74" i="1"/>
  <c r="J74" i="1"/>
  <c r="I74" i="1"/>
  <c r="H74" i="1"/>
  <c r="G74" i="1"/>
  <c r="F74" i="1"/>
  <c r="E74" i="1"/>
  <c r="D74" i="1"/>
  <c r="C74" i="1"/>
  <c r="B74" i="1"/>
  <c r="M73" i="1"/>
  <c r="L73" i="1"/>
  <c r="K73" i="1"/>
  <c r="J73" i="1"/>
  <c r="I73" i="1"/>
  <c r="H73" i="1"/>
  <c r="G73" i="1"/>
  <c r="F73" i="1"/>
  <c r="E73" i="1"/>
  <c r="D73" i="1"/>
  <c r="C73" i="1"/>
  <c r="B73" i="1"/>
  <c r="M72" i="1"/>
  <c r="L72" i="1"/>
  <c r="K72" i="1"/>
  <c r="J72" i="1"/>
  <c r="I72" i="1"/>
  <c r="H72" i="1"/>
  <c r="G72" i="1"/>
  <c r="F72" i="1"/>
  <c r="E72" i="1"/>
  <c r="D72" i="1"/>
  <c r="C72" i="1"/>
  <c r="B72" i="1"/>
  <c r="M71" i="1"/>
  <c r="L71" i="1"/>
  <c r="K71" i="1"/>
  <c r="J71" i="1"/>
  <c r="I71" i="1"/>
  <c r="H71" i="1"/>
  <c r="G71" i="1"/>
  <c r="F71" i="1"/>
  <c r="E71" i="1"/>
  <c r="D71" i="1"/>
  <c r="C71" i="1"/>
  <c r="B71" i="1"/>
  <c r="M70" i="1"/>
  <c r="L70" i="1"/>
  <c r="K70" i="1"/>
  <c r="J70" i="1"/>
  <c r="I70" i="1"/>
  <c r="H70" i="1"/>
  <c r="G70" i="1"/>
  <c r="F70" i="1"/>
  <c r="E70" i="1"/>
  <c r="D70" i="1"/>
  <c r="C70" i="1"/>
  <c r="B70" i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M61" i="1"/>
  <c r="L61" i="1"/>
  <c r="K61" i="1"/>
  <c r="J61" i="1"/>
  <c r="I61" i="1"/>
  <c r="H61" i="1"/>
  <c r="G61" i="1"/>
  <c r="F61" i="1"/>
  <c r="E61" i="1"/>
  <c r="D61" i="1"/>
  <c r="C61" i="1"/>
  <c r="B61" i="1"/>
  <c r="M60" i="1"/>
  <c r="L60" i="1"/>
  <c r="K60" i="1"/>
  <c r="J60" i="1"/>
  <c r="I60" i="1"/>
  <c r="H60" i="1"/>
  <c r="G60" i="1"/>
  <c r="F60" i="1"/>
  <c r="E60" i="1"/>
  <c r="D60" i="1"/>
  <c r="C60" i="1"/>
  <c r="B60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F57" i="1"/>
  <c r="E57" i="1"/>
  <c r="D57" i="1"/>
  <c r="C57" i="1"/>
  <c r="B57" i="1"/>
  <c r="M56" i="1"/>
  <c r="L56" i="1"/>
  <c r="K56" i="1"/>
  <c r="J56" i="1"/>
  <c r="I56" i="1"/>
  <c r="H56" i="1"/>
  <c r="G56" i="1"/>
  <c r="F56" i="1"/>
  <c r="E56" i="1"/>
  <c r="D56" i="1"/>
  <c r="C56" i="1"/>
  <c r="B56" i="1"/>
  <c r="M55" i="1"/>
  <c r="L55" i="1"/>
  <c r="K55" i="1"/>
  <c r="J55" i="1"/>
  <c r="I55" i="1"/>
  <c r="H55" i="1"/>
  <c r="G55" i="1"/>
  <c r="F55" i="1"/>
  <c r="E55" i="1"/>
  <c r="D55" i="1"/>
  <c r="C55" i="1"/>
  <c r="B55" i="1"/>
  <c r="M54" i="1"/>
  <c r="L54" i="1"/>
  <c r="K54" i="1"/>
  <c r="J54" i="1"/>
  <c r="I54" i="1"/>
  <c r="H54" i="1"/>
  <c r="G54" i="1"/>
  <c r="F54" i="1"/>
  <c r="E54" i="1"/>
  <c r="D54" i="1"/>
  <c r="C54" i="1"/>
  <c r="B54" i="1"/>
  <c r="M53" i="1"/>
  <c r="L53" i="1"/>
  <c r="K53" i="1"/>
  <c r="J53" i="1"/>
  <c r="I53" i="1"/>
  <c r="H53" i="1"/>
  <c r="G53" i="1"/>
  <c r="F53" i="1"/>
  <c r="E53" i="1"/>
  <c r="D53" i="1"/>
  <c r="C53" i="1"/>
  <c r="B53" i="1"/>
  <c r="M52" i="1"/>
  <c r="L52" i="1"/>
  <c r="K52" i="1"/>
  <c r="J52" i="1"/>
  <c r="I52" i="1"/>
  <c r="H52" i="1"/>
  <c r="G52" i="1"/>
  <c r="F52" i="1"/>
  <c r="E52" i="1"/>
  <c r="D52" i="1"/>
  <c r="C52" i="1"/>
  <c r="B52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<sst xmlns="http://schemas.openxmlformats.org/spreadsheetml/2006/main" count="2534" uniqueCount="1019">
  <si>
    <t>Ticker</t>
  </si>
  <si>
    <t>Stock Name</t>
  </si>
  <si>
    <t>CurrentPrice</t>
  </si>
  <si>
    <t>EPS</t>
  </si>
  <si>
    <t>PE</t>
  </si>
  <si>
    <t>Beta</t>
  </si>
  <si>
    <t>Shares</t>
  </si>
  <si>
    <t>MarketCap</t>
  </si>
  <si>
    <t>Volume</t>
  </si>
  <si>
    <t>VolumeAvg</t>
  </si>
  <si>
    <t>High52</t>
  </si>
  <si>
    <t>Low52</t>
  </si>
  <si>
    <t>RecordDate</t>
  </si>
  <si>
    <t>A</t>
  </si>
  <si>
    <t>AAL</t>
  </si>
  <si>
    <t>AAPL</t>
  </si>
  <si>
    <t>ABBV</t>
  </si>
  <si>
    <t>ABNB</t>
  </si>
  <si>
    <t>ABT</t>
  </si>
  <si>
    <t>ACGL</t>
  </si>
  <si>
    <t>ACN</t>
  </si>
  <si>
    <t>ADBE</t>
  </si>
  <si>
    <t>ADI</t>
  </si>
  <si>
    <t>ADM</t>
  </si>
  <si>
    <t>ADP</t>
  </si>
  <si>
    <t>ADSK</t>
  </si>
  <si>
    <t>AEE</t>
  </si>
  <si>
    <t>AEP</t>
  </si>
  <si>
    <t>AES</t>
  </si>
  <si>
    <t>AFL</t>
  </si>
  <si>
    <t>AIG</t>
  </si>
  <si>
    <t>AIZ</t>
  </si>
  <si>
    <t>AJG</t>
  </si>
  <si>
    <t>AKAM</t>
  </si>
  <si>
    <t>ALB</t>
  </si>
  <si>
    <t>ALGN</t>
  </si>
  <si>
    <t>ALK</t>
  </si>
  <si>
    <t>ALL</t>
  </si>
  <si>
    <t>ALLE</t>
  </si>
  <si>
    <t>AMAT</t>
  </si>
  <si>
    <t>AMCR</t>
  </si>
  <si>
    <t>AMD</t>
  </si>
  <si>
    <t>AME</t>
  </si>
  <si>
    <t>AMGN</t>
  </si>
  <si>
    <t>AMP</t>
  </si>
  <si>
    <t>AMT</t>
  </si>
  <si>
    <t>AMZN</t>
  </si>
  <si>
    <t>ANET</t>
  </si>
  <si>
    <t>ANSS</t>
  </si>
  <si>
    <t>AON</t>
  </si>
  <si>
    <t>AOS</t>
  </si>
  <si>
    <t>APA</t>
  </si>
  <si>
    <t>APD</t>
  </si>
  <si>
    <t>APH</t>
  </si>
  <si>
    <t>APTV</t>
  </si>
  <si>
    <t>ARE</t>
  </si>
  <si>
    <t>ATO</t>
  </si>
  <si>
    <t>AVB</t>
  </si>
  <si>
    <t>AVGO</t>
  </si>
  <si>
    <t>AVY</t>
  </si>
  <si>
    <t>AWK</t>
  </si>
  <si>
    <t>AXON</t>
  </si>
  <si>
    <t>AXP</t>
  </si>
  <si>
    <t>AZO</t>
  </si>
  <si>
    <t>BA</t>
  </si>
  <si>
    <t>BAC</t>
  </si>
  <si>
    <t>BALL</t>
  </si>
  <si>
    <t>BAX</t>
  </si>
  <si>
    <t>BBWI</t>
  </si>
  <si>
    <t>BBY</t>
  </si>
  <si>
    <t>BDX</t>
  </si>
  <si>
    <t>BEN</t>
  </si>
  <si>
    <t>BF.B</t>
  </si>
  <si>
    <t>BG</t>
  </si>
  <si>
    <t>BIIB</t>
  </si>
  <si>
    <t>BIO</t>
  </si>
  <si>
    <t>BK</t>
  </si>
  <si>
    <t>BKNG</t>
  </si>
  <si>
    <t>BKR</t>
  </si>
  <si>
    <t>BLK</t>
  </si>
  <si>
    <t>BMY</t>
  </si>
  <si>
    <t>BR</t>
  </si>
  <si>
    <t>BRK.B</t>
  </si>
  <si>
    <t>BRO</t>
  </si>
  <si>
    <t>BSX</t>
  </si>
  <si>
    <t>BWA</t>
  </si>
  <si>
    <t>BX</t>
  </si>
  <si>
    <t>BXP</t>
  </si>
  <si>
    <t>C</t>
  </si>
  <si>
    <t>CAG</t>
  </si>
  <si>
    <t>CAH</t>
  </si>
  <si>
    <t>CARR</t>
  </si>
  <si>
    <t>CAT</t>
  </si>
  <si>
    <t>CB</t>
  </si>
  <si>
    <t>CBOE</t>
  </si>
  <si>
    <t>CBRE</t>
  </si>
  <si>
    <t>CCI</t>
  </si>
  <si>
    <t>CCL</t>
  </si>
  <si>
    <t>CDAY</t>
  </si>
  <si>
    <t>CDNS</t>
  </si>
  <si>
    <t>CDW</t>
  </si>
  <si>
    <t>CE</t>
  </si>
  <si>
    <t>CEG</t>
  </si>
  <si>
    <t>CF</t>
  </si>
  <si>
    <t>CFG</t>
  </si>
  <si>
    <t>CHD</t>
  </si>
  <si>
    <t>CHRW</t>
  </si>
  <si>
    <t>CHTR</t>
  </si>
  <si>
    <t>CI</t>
  </si>
  <si>
    <t>CINF</t>
  </si>
  <si>
    <t>CL</t>
  </si>
  <si>
    <t>CLX</t>
  </si>
  <si>
    <t>CMA</t>
  </si>
  <si>
    <t>CMCSA</t>
  </si>
  <si>
    <t>CME</t>
  </si>
  <si>
    <t>CMG</t>
  </si>
  <si>
    <t>CMI</t>
  </si>
  <si>
    <t>CMS</t>
  </si>
  <si>
    <t>CNC</t>
  </si>
  <si>
    <t>CNP</t>
  </si>
  <si>
    <t>COF</t>
  </si>
  <si>
    <t>COO</t>
  </si>
  <si>
    <t>COP</t>
  </si>
  <si>
    <t>COR</t>
  </si>
  <si>
    <t>COST</t>
  </si>
  <si>
    <t>CPB</t>
  </si>
  <si>
    <t>CPRT</t>
  </si>
  <si>
    <t>CPT</t>
  </si>
  <si>
    <t>CRL</t>
  </si>
  <si>
    <t>CRM</t>
  </si>
  <si>
    <t>CSCO</t>
  </si>
  <si>
    <t>CSGP</t>
  </si>
  <si>
    <t>CSX</t>
  </si>
  <si>
    <t>CTAS</t>
  </si>
  <si>
    <t>CTLT</t>
  </si>
  <si>
    <t>CTRA</t>
  </si>
  <si>
    <t>CTSH</t>
  </si>
  <si>
    <t>CTVA</t>
  </si>
  <si>
    <t>CVS</t>
  </si>
  <si>
    <t>CVX</t>
  </si>
  <si>
    <t>CZR</t>
  </si>
  <si>
    <t>D</t>
  </si>
  <si>
    <t>DAL</t>
  </si>
  <si>
    <t>DD</t>
  </si>
  <si>
    <t>DE</t>
  </si>
  <si>
    <t>DFS</t>
  </si>
  <si>
    <t>DG</t>
  </si>
  <si>
    <t>DGX</t>
  </si>
  <si>
    <t>DHI</t>
  </si>
  <si>
    <t>DHR</t>
  </si>
  <si>
    <t>DIS</t>
  </si>
  <si>
    <t>DLR</t>
  </si>
  <si>
    <t>DLTR</t>
  </si>
  <si>
    <t>DOV</t>
  </si>
  <si>
    <t>DOW</t>
  </si>
  <si>
    <t>DPZ</t>
  </si>
  <si>
    <t>DRI</t>
  </si>
  <si>
    <t>DTE</t>
  </si>
  <si>
    <t>DUK</t>
  </si>
  <si>
    <t>DVA</t>
  </si>
  <si>
    <t>DVN</t>
  </si>
  <si>
    <t>DXCM</t>
  </si>
  <si>
    <t>EA</t>
  </si>
  <si>
    <t>EBAY</t>
  </si>
  <si>
    <t>ECL</t>
  </si>
  <si>
    <t>ED</t>
  </si>
  <si>
    <t>EFX</t>
  </si>
  <si>
    <t>EG</t>
  </si>
  <si>
    <t>EIX</t>
  </si>
  <si>
    <t>EL</t>
  </si>
  <si>
    <t>ELV</t>
  </si>
  <si>
    <t>EMN</t>
  </si>
  <si>
    <t>EMR</t>
  </si>
  <si>
    <t>ENPH</t>
  </si>
  <si>
    <t>EOG</t>
  </si>
  <si>
    <t>EPAM</t>
  </si>
  <si>
    <t>EQIX</t>
  </si>
  <si>
    <t>EQR</t>
  </si>
  <si>
    <t>EQT</t>
  </si>
  <si>
    <t>ES</t>
  </si>
  <si>
    <t>ESS</t>
  </si>
  <si>
    <t>ETN</t>
  </si>
  <si>
    <t>ETR</t>
  </si>
  <si>
    <t>ETSY</t>
  </si>
  <si>
    <t>EVRG</t>
  </si>
  <si>
    <t>EW</t>
  </si>
  <si>
    <t>EXC</t>
  </si>
  <si>
    <t>EXPD</t>
  </si>
  <si>
    <t>EXPE</t>
  </si>
  <si>
    <t>EXR</t>
  </si>
  <si>
    <t>F</t>
  </si>
  <si>
    <t>FANG</t>
  </si>
  <si>
    <t>FAST</t>
  </si>
  <si>
    <t>FCX</t>
  </si>
  <si>
    <t>FDS</t>
  </si>
  <si>
    <t>FDX</t>
  </si>
  <si>
    <t>FE</t>
  </si>
  <si>
    <t>FFIV</t>
  </si>
  <si>
    <t>FI</t>
  </si>
  <si>
    <t>FICO</t>
  </si>
  <si>
    <t>FIS</t>
  </si>
  <si>
    <t>FITB</t>
  </si>
  <si>
    <t>FLT</t>
  </si>
  <si>
    <t>FMC</t>
  </si>
  <si>
    <t>FOX</t>
  </si>
  <si>
    <t>FOXA</t>
  </si>
  <si>
    <t>FRT</t>
  </si>
  <si>
    <t>FSLR</t>
  </si>
  <si>
    <t>FTNT</t>
  </si>
  <si>
    <t>FTV</t>
  </si>
  <si>
    <t>GD</t>
  </si>
  <si>
    <t>GE</t>
  </si>
  <si>
    <t>GEHC</t>
  </si>
  <si>
    <t>GEN</t>
  </si>
  <si>
    <t>GILD</t>
  </si>
  <si>
    <t>GIS</t>
  </si>
  <si>
    <t>GL</t>
  </si>
  <si>
    <t>GLW</t>
  </si>
  <si>
    <t>GM</t>
  </si>
  <si>
    <t>GNRC</t>
  </si>
  <si>
    <t>GOOG</t>
  </si>
  <si>
    <t>GOOGL</t>
  </si>
  <si>
    <t>GPC</t>
  </si>
  <si>
    <t>GPN</t>
  </si>
  <si>
    <t>GRMN</t>
  </si>
  <si>
    <t>GS</t>
  </si>
  <si>
    <t>GWW</t>
  </si>
  <si>
    <t>HAL</t>
  </si>
  <si>
    <t>HAS</t>
  </si>
  <si>
    <t>HBAN</t>
  </si>
  <si>
    <t>HCA</t>
  </si>
  <si>
    <t>HD</t>
  </si>
  <si>
    <t>HES</t>
  </si>
  <si>
    <t>HIG</t>
  </si>
  <si>
    <t>HII</t>
  </si>
  <si>
    <t>HLT</t>
  </si>
  <si>
    <t>HOLX</t>
  </si>
  <si>
    <t>HON</t>
  </si>
  <si>
    <t>HPE</t>
  </si>
  <si>
    <t>HPQ</t>
  </si>
  <si>
    <t>HRL</t>
  </si>
  <si>
    <t>HSIC</t>
  </si>
  <si>
    <t>HST</t>
  </si>
  <si>
    <t>HSY</t>
  </si>
  <si>
    <t>HUBB</t>
  </si>
  <si>
    <t>HUM</t>
  </si>
  <si>
    <t>HWM</t>
  </si>
  <si>
    <t>IBM</t>
  </si>
  <si>
    <t>ICE</t>
  </si>
  <si>
    <t>IDXX</t>
  </si>
  <si>
    <t>IEX</t>
  </si>
  <si>
    <t>IFF</t>
  </si>
  <si>
    <t>ILMN</t>
  </si>
  <si>
    <t>INCY</t>
  </si>
  <si>
    <t>INTC</t>
  </si>
  <si>
    <t>INTU</t>
  </si>
  <si>
    <t>INVH</t>
  </si>
  <si>
    <t>IP</t>
  </si>
  <si>
    <t>IPG</t>
  </si>
  <si>
    <t>IQV</t>
  </si>
  <si>
    <t>IR</t>
  </si>
  <si>
    <t>IRM</t>
  </si>
  <si>
    <t>ISRG</t>
  </si>
  <si>
    <t>IT</t>
  </si>
  <si>
    <t>ITW</t>
  </si>
  <si>
    <t>IVZ</t>
  </si>
  <si>
    <t>J</t>
  </si>
  <si>
    <t>JBHT</t>
  </si>
  <si>
    <t>JCI</t>
  </si>
  <si>
    <t>JKHY</t>
  </si>
  <si>
    <t>JNJ</t>
  </si>
  <si>
    <t>JNPR</t>
  </si>
  <si>
    <t>JPM</t>
  </si>
  <si>
    <t>K</t>
  </si>
  <si>
    <t>KDP</t>
  </si>
  <si>
    <t>KEY</t>
  </si>
  <si>
    <t>KEYS</t>
  </si>
  <si>
    <t>KHC</t>
  </si>
  <si>
    <t>KIM</t>
  </si>
  <si>
    <t>KLAC</t>
  </si>
  <si>
    <t>KMB</t>
  </si>
  <si>
    <t>KMI</t>
  </si>
  <si>
    <t>KMX</t>
  </si>
  <si>
    <t>KO</t>
  </si>
  <si>
    <t>KR</t>
  </si>
  <si>
    <t>KVUE</t>
  </si>
  <si>
    <t>L</t>
  </si>
  <si>
    <t>LDOS</t>
  </si>
  <si>
    <t>LEN</t>
  </si>
  <si>
    <t>LH</t>
  </si>
  <si>
    <t>LHX</t>
  </si>
  <si>
    <t>LIN</t>
  </si>
  <si>
    <t>LKQ</t>
  </si>
  <si>
    <t>LLY</t>
  </si>
  <si>
    <t>LMT</t>
  </si>
  <si>
    <t>LNT</t>
  </si>
  <si>
    <t>LOW</t>
  </si>
  <si>
    <t>LRCX</t>
  </si>
  <si>
    <t>LULU</t>
  </si>
  <si>
    <t>LUV</t>
  </si>
  <si>
    <t>LVS</t>
  </si>
  <si>
    <t>LW</t>
  </si>
  <si>
    <t>LYB</t>
  </si>
  <si>
    <t>LYV</t>
  </si>
  <si>
    <t>MA</t>
  </si>
  <si>
    <t>MAA</t>
  </si>
  <si>
    <t>MAR</t>
  </si>
  <si>
    <t>MAS</t>
  </si>
  <si>
    <t>MCD</t>
  </si>
  <si>
    <t>MCHP</t>
  </si>
  <si>
    <t>MCK</t>
  </si>
  <si>
    <t>MCO</t>
  </si>
  <si>
    <t>MDLZ</t>
  </si>
  <si>
    <t>MDT</t>
  </si>
  <si>
    <t>MET</t>
  </si>
  <si>
    <t>META</t>
  </si>
  <si>
    <t>MGM</t>
  </si>
  <si>
    <t>MHK</t>
  </si>
  <si>
    <t>MKC</t>
  </si>
  <si>
    <t>MKTX</t>
  </si>
  <si>
    <t>MLM</t>
  </si>
  <si>
    <t>MMC</t>
  </si>
  <si>
    <t>MMM</t>
  </si>
  <si>
    <t>MNST</t>
  </si>
  <si>
    <t>MO</t>
  </si>
  <si>
    <t>MOH</t>
  </si>
  <si>
    <t>MOS</t>
  </si>
  <si>
    <t>MPC</t>
  </si>
  <si>
    <t>MPWR</t>
  </si>
  <si>
    <t>MRK</t>
  </si>
  <si>
    <t>MRNA</t>
  </si>
  <si>
    <t>MRO</t>
  </si>
  <si>
    <t>MS</t>
  </si>
  <si>
    <t>MSCI</t>
  </si>
  <si>
    <t>MSFT</t>
  </si>
  <si>
    <t>MSI</t>
  </si>
  <si>
    <t>MTB</t>
  </si>
  <si>
    <t>MTCH</t>
  </si>
  <si>
    <t>MTD</t>
  </si>
  <si>
    <t>MU</t>
  </si>
  <si>
    <t>NCLH</t>
  </si>
  <si>
    <t>NDAQ</t>
  </si>
  <si>
    <t>NDSN</t>
  </si>
  <si>
    <t>NEE</t>
  </si>
  <si>
    <t>NEM</t>
  </si>
  <si>
    <t>NFLX</t>
  </si>
  <si>
    <t>NI</t>
  </si>
  <si>
    <t>NKE</t>
  </si>
  <si>
    <t>NOC</t>
  </si>
  <si>
    <t>NOW</t>
  </si>
  <si>
    <t>NRG</t>
  </si>
  <si>
    <t>NSC</t>
  </si>
  <si>
    <t>NTAP</t>
  </si>
  <si>
    <t>NTRS</t>
  </si>
  <si>
    <t>NUE</t>
  </si>
  <si>
    <t>NVDA</t>
  </si>
  <si>
    <t>NVR</t>
  </si>
  <si>
    <t>NWS</t>
  </si>
  <si>
    <t>NWSA</t>
  </si>
  <si>
    <t>NXPI</t>
  </si>
  <si>
    <t>O</t>
  </si>
  <si>
    <t>ODFL</t>
  </si>
  <si>
    <t>OKE</t>
  </si>
  <si>
    <t>OMC</t>
  </si>
  <si>
    <t>ON</t>
  </si>
  <si>
    <t>ORCL</t>
  </si>
  <si>
    <t>ORLY</t>
  </si>
  <si>
    <t>OTIS</t>
  </si>
  <si>
    <t>OXY</t>
  </si>
  <si>
    <t>PANW</t>
  </si>
  <si>
    <t>PARA</t>
  </si>
  <si>
    <t>PAYC</t>
  </si>
  <si>
    <t>PAYX</t>
  </si>
  <si>
    <t>PCAR</t>
  </si>
  <si>
    <t>PCG</t>
  </si>
  <si>
    <t>PEAK</t>
  </si>
  <si>
    <t>PEG</t>
  </si>
  <si>
    <t>PEP</t>
  </si>
  <si>
    <t>PFE</t>
  </si>
  <si>
    <t>PFG</t>
  </si>
  <si>
    <t>PG</t>
  </si>
  <si>
    <t>PGR</t>
  </si>
  <si>
    <t>PH</t>
  </si>
  <si>
    <t>PHM</t>
  </si>
  <si>
    <t>PKG</t>
  </si>
  <si>
    <t>PLD</t>
  </si>
  <si>
    <t>PM</t>
  </si>
  <si>
    <t>PNC</t>
  </si>
  <si>
    <t>PNR</t>
  </si>
  <si>
    <t>PNW</t>
  </si>
  <si>
    <t>PODD</t>
  </si>
  <si>
    <t>POOL</t>
  </si>
  <si>
    <t>PPG</t>
  </si>
  <si>
    <t>PPL</t>
  </si>
  <si>
    <t>PRU</t>
  </si>
  <si>
    <t>PSA</t>
  </si>
  <si>
    <t>PSX</t>
  </si>
  <si>
    <t>PTC</t>
  </si>
  <si>
    <t>PWR</t>
  </si>
  <si>
    <t>PXD</t>
  </si>
  <si>
    <t>PYPL</t>
  </si>
  <si>
    <t>QCOM</t>
  </si>
  <si>
    <t>QRVO</t>
  </si>
  <si>
    <t>RCL</t>
  </si>
  <si>
    <t>REG</t>
  </si>
  <si>
    <t>REGN</t>
  </si>
  <si>
    <t>RF</t>
  </si>
  <si>
    <t>RHI</t>
  </si>
  <si>
    <t>RJF</t>
  </si>
  <si>
    <t>RL</t>
  </si>
  <si>
    <t>RMD</t>
  </si>
  <si>
    <t>ROK</t>
  </si>
  <si>
    <t>ROL</t>
  </si>
  <si>
    <t>ROP</t>
  </si>
  <si>
    <t>ROST</t>
  </si>
  <si>
    <t>RSG</t>
  </si>
  <si>
    <t>RTX</t>
  </si>
  <si>
    <t>RVTY</t>
  </si>
  <si>
    <t>SBAC</t>
  </si>
  <si>
    <t>SBUX</t>
  </si>
  <si>
    <t>SCHW</t>
  </si>
  <si>
    <t>SEDG</t>
  </si>
  <si>
    <t>SEE</t>
  </si>
  <si>
    <t>SHW</t>
  </si>
  <si>
    <t>SJM</t>
  </si>
  <si>
    <t>SLB</t>
  </si>
  <si>
    <t>SNA</t>
  </si>
  <si>
    <t>SNPS</t>
  </si>
  <si>
    <t>SO</t>
  </si>
  <si>
    <t>SPG</t>
  </si>
  <si>
    <t>SPGI</t>
  </si>
  <si>
    <t>SRE</t>
  </si>
  <si>
    <t>STE</t>
  </si>
  <si>
    <t>STLD</t>
  </si>
  <si>
    <t>STT</t>
  </si>
  <si>
    <t>STX</t>
  </si>
  <si>
    <t>STZ</t>
  </si>
  <si>
    <t>SWK</t>
  </si>
  <si>
    <t>SWKS</t>
  </si>
  <si>
    <t>SYF</t>
  </si>
  <si>
    <t>SYK</t>
  </si>
  <si>
    <t>SYY</t>
  </si>
  <si>
    <t>T</t>
  </si>
  <si>
    <t>TAP</t>
  </si>
  <si>
    <t>TDG</t>
  </si>
  <si>
    <t>TDY</t>
  </si>
  <si>
    <t>TECH</t>
  </si>
  <si>
    <t>TEL</t>
  </si>
  <si>
    <t>TER</t>
  </si>
  <si>
    <t>TFC</t>
  </si>
  <si>
    <t>TFX</t>
  </si>
  <si>
    <t>TGT</t>
  </si>
  <si>
    <t>TJX</t>
  </si>
  <si>
    <t>TMO</t>
  </si>
  <si>
    <t>TMUS</t>
  </si>
  <si>
    <t>TPR</t>
  </si>
  <si>
    <t>TRGP</t>
  </si>
  <si>
    <t>TRMB</t>
  </si>
  <si>
    <t>TROW</t>
  </si>
  <si>
    <t>TRV</t>
  </si>
  <si>
    <t>TSCO</t>
  </si>
  <si>
    <t>TSLA</t>
  </si>
  <si>
    <t>TSN</t>
  </si>
  <si>
    <t>TT</t>
  </si>
  <si>
    <t>TTWO</t>
  </si>
  <si>
    <t>TXN</t>
  </si>
  <si>
    <t>TXT</t>
  </si>
  <si>
    <t>TYL</t>
  </si>
  <si>
    <t>UAL</t>
  </si>
  <si>
    <t>UDR</t>
  </si>
  <si>
    <t>UHS</t>
  </si>
  <si>
    <t>ULTA</t>
  </si>
  <si>
    <t>UNH</t>
  </si>
  <si>
    <t>UNP</t>
  </si>
  <si>
    <t>UPS</t>
  </si>
  <si>
    <t>URI</t>
  </si>
  <si>
    <t>USB</t>
  </si>
  <si>
    <t>V</t>
  </si>
  <si>
    <t>VFC</t>
  </si>
  <si>
    <t>VICI</t>
  </si>
  <si>
    <t>VLO</t>
  </si>
  <si>
    <t>VLTO</t>
  </si>
  <si>
    <t>VMC</t>
  </si>
  <si>
    <t>VRSK</t>
  </si>
  <si>
    <t>VRSN</t>
  </si>
  <si>
    <t>VRTX</t>
  </si>
  <si>
    <t>VTR</t>
  </si>
  <si>
    <t>VTRS</t>
  </si>
  <si>
    <t>VZ</t>
  </si>
  <si>
    <t>WAB</t>
  </si>
  <si>
    <t>WAT</t>
  </si>
  <si>
    <t>WBA</t>
  </si>
  <si>
    <t>WBD</t>
  </si>
  <si>
    <t>WDC</t>
  </si>
  <si>
    <t>WEC</t>
  </si>
  <si>
    <t>WELL</t>
  </si>
  <si>
    <t>WFC</t>
  </si>
  <si>
    <t>WHR</t>
  </si>
  <si>
    <t>WM</t>
  </si>
  <si>
    <t>WMB</t>
  </si>
  <si>
    <t>WMT</t>
  </si>
  <si>
    <t>WRB</t>
  </si>
  <si>
    <t>WRK</t>
  </si>
  <si>
    <t>WST</t>
  </si>
  <si>
    <t>WTW</t>
  </si>
  <si>
    <t>WY</t>
  </si>
  <si>
    <t>WYNN</t>
  </si>
  <si>
    <t>XEL</t>
  </si>
  <si>
    <t>XOM</t>
  </si>
  <si>
    <t>XRAY</t>
  </si>
  <si>
    <t>XYL</t>
  </si>
  <si>
    <t>YUM</t>
  </si>
  <si>
    <t>ZBH</t>
  </si>
  <si>
    <t>ZBRA</t>
  </si>
  <si>
    <t>ZION</t>
  </si>
  <si>
    <t>ZTS</t>
  </si>
  <si>
    <t>Agilent Technologies Inc</t>
  </si>
  <si>
    <t>American Airlines Group Inc</t>
  </si>
  <si>
    <t>Apple Inc</t>
  </si>
  <si>
    <t>AbbVie Inc</t>
  </si>
  <si>
    <t>Airbnb Inc</t>
  </si>
  <si>
    <t>Abbott Laboratories</t>
  </si>
  <si>
    <t>Arch Capital Group Ltd.</t>
  </si>
  <si>
    <t>Accenture Plc</t>
  </si>
  <si>
    <t>Adobe Inc</t>
  </si>
  <si>
    <t>Analog Devices, Inc.</t>
  </si>
  <si>
    <t>Archer-Daniels-Midland Co</t>
  </si>
  <si>
    <t>Automatic Data Processing Inc</t>
  </si>
  <si>
    <t>Autodesk Inc</t>
  </si>
  <si>
    <t>Ameren Corp</t>
  </si>
  <si>
    <t>American Electric Power Company Inc</t>
  </si>
  <si>
    <t>AES Corp</t>
  </si>
  <si>
    <t>AFLAC Incorporated</t>
  </si>
  <si>
    <t>American International Group Inc</t>
  </si>
  <si>
    <t>Assurant, Inc.</t>
  </si>
  <si>
    <t>Arthur J. Gallagher &amp; Co.</t>
  </si>
  <si>
    <t>Akamai Technologies, Inc.</t>
  </si>
  <si>
    <t>Albemarle Corporation</t>
  </si>
  <si>
    <t>Align Technology, Inc.</t>
  </si>
  <si>
    <t>Alaska Air Group, Inc.</t>
  </si>
  <si>
    <t>Allstate Corp</t>
  </si>
  <si>
    <t>Allegion PLC</t>
  </si>
  <si>
    <t>Applied Materials, Inc.</t>
  </si>
  <si>
    <t>Amcor PLC</t>
  </si>
  <si>
    <t>Advanced Micro Devices, Inc.</t>
  </si>
  <si>
    <t>AMETEK, Inc.</t>
  </si>
  <si>
    <t>Amgen, Inc.</t>
  </si>
  <si>
    <t>Ameriprise Financial, Inc.</t>
  </si>
  <si>
    <t>American Tower Corp</t>
  </si>
  <si>
    <t>Amazon.com Inc</t>
  </si>
  <si>
    <t>Arista Networks Inc</t>
  </si>
  <si>
    <t>ANSYS, Inc.</t>
  </si>
  <si>
    <t>Aon PLC</t>
  </si>
  <si>
    <t>A O Smith Corp</t>
  </si>
  <si>
    <t>APA Corp (US)</t>
  </si>
  <si>
    <t>Air Products and Chemicals Inc</t>
  </si>
  <si>
    <t>Amphenol Corporation</t>
  </si>
  <si>
    <t>Aptiv PLC</t>
  </si>
  <si>
    <t>Alexandria Real Estate Equities Inc</t>
  </si>
  <si>
    <t>Atmos Energy Corporation</t>
  </si>
  <si>
    <t>AvalonBay Communities Inc</t>
  </si>
  <si>
    <t>Broadcom Inc</t>
  </si>
  <si>
    <t>Avery Dennison Corp</t>
  </si>
  <si>
    <t>American Water Works Company Inc</t>
  </si>
  <si>
    <t>Axon Enterprise Inc</t>
  </si>
  <si>
    <t>American Express Company</t>
  </si>
  <si>
    <t>Autozone Inc</t>
  </si>
  <si>
    <t>Boeing Co</t>
  </si>
  <si>
    <t>Bank of America Corp</t>
  </si>
  <si>
    <t>Ball Corp</t>
  </si>
  <si>
    <t>Baxter International Inc</t>
  </si>
  <si>
    <t>Bath &amp; Body Works Inc</t>
  </si>
  <si>
    <t>Best Buy Co Inc</t>
  </si>
  <si>
    <t>Becton Dickinson and Co</t>
  </si>
  <si>
    <t>Franklin Resources Inc</t>
  </si>
  <si>
    <t>Brown-Forman Corporation Class B</t>
  </si>
  <si>
    <t>Bunge Global SA</t>
  </si>
  <si>
    <t>Biogen Inc</t>
  </si>
  <si>
    <t>Bio-Rad Laboratories, Inc. Class A Common Stock</t>
  </si>
  <si>
    <t>Bank of New York Mellon Corp</t>
  </si>
  <si>
    <t>Booking Holdings Inc</t>
  </si>
  <si>
    <t>Baker Hughes Co</t>
  </si>
  <si>
    <t>BlackRock Inc</t>
  </si>
  <si>
    <t>Bristol-Myers Squibb Co</t>
  </si>
  <si>
    <t>Broadridge Financial Solutions Inc</t>
  </si>
  <si>
    <t>Berkshire Hathaway Inc Class B</t>
  </si>
  <si>
    <t>Brown &amp; Brown, Inc.</t>
  </si>
  <si>
    <t>Boston Scientific Corporation</t>
  </si>
  <si>
    <t>BorgWarner Inc.</t>
  </si>
  <si>
    <t>Blackstone Inc</t>
  </si>
  <si>
    <t>Boston Properties, Inc.</t>
  </si>
  <si>
    <t>Citigroup Inc</t>
  </si>
  <si>
    <t>Conagra Brands Inc</t>
  </si>
  <si>
    <t>Cardinal Health Inc</t>
  </si>
  <si>
    <t>Carrier Global Corp</t>
  </si>
  <si>
    <t>Caterpillar Inc.</t>
  </si>
  <si>
    <t>Chubb Ltd</t>
  </si>
  <si>
    <t>Cboe Global Markets Inc</t>
  </si>
  <si>
    <t>CBRE Group Inc</t>
  </si>
  <si>
    <t>Crown Castle Inc</t>
  </si>
  <si>
    <t>Carnival Corp</t>
  </si>
  <si>
    <t>Ceridian HCM Holding Inc</t>
  </si>
  <si>
    <t>Cadence Design Systems Inc</t>
  </si>
  <si>
    <t>CDW common stock</t>
  </si>
  <si>
    <t>Celanese Corporation</t>
  </si>
  <si>
    <t>Constellation Energy Corp</t>
  </si>
  <si>
    <t>CF Industries Holdings, Inc.</t>
  </si>
  <si>
    <t>Citizens Financial Group Inc</t>
  </si>
  <si>
    <t>Church &amp; Dwight Co., Inc.</t>
  </si>
  <si>
    <t>CH Robinson Worldwide Inc</t>
  </si>
  <si>
    <t>Charter Communications Inc</t>
  </si>
  <si>
    <t>Cigna Group</t>
  </si>
  <si>
    <t>Cincinnati Financial Corporation</t>
  </si>
  <si>
    <t>Colgate-Palmolive Company</t>
  </si>
  <si>
    <t>Clorox Co</t>
  </si>
  <si>
    <t>Comerica Incorporated</t>
  </si>
  <si>
    <t>Comcast Corporation</t>
  </si>
  <si>
    <t>CME Group Inc</t>
  </si>
  <si>
    <t>Chipotle Mexican Grill, Inc.</t>
  </si>
  <si>
    <t>Cummins Inc.</t>
  </si>
  <si>
    <t>CMS Energy Corporation</t>
  </si>
  <si>
    <t>Centene Corp</t>
  </si>
  <si>
    <t>CenterPoint Energy Inc</t>
  </si>
  <si>
    <t>Capital One Financial Corp.</t>
  </si>
  <si>
    <t>Cooper Companies Inc</t>
  </si>
  <si>
    <t>ConocoPhillips</t>
  </si>
  <si>
    <t>Cencora Inc</t>
  </si>
  <si>
    <t>Costco Wholesale Corporation</t>
  </si>
  <si>
    <t>Campbell Soup Company</t>
  </si>
  <si>
    <t>Copart, Inc.</t>
  </si>
  <si>
    <t>Camden Property Trust</t>
  </si>
  <si>
    <t>Charles River Lbrtrs ntrntl Inc</t>
  </si>
  <si>
    <t>Salesforce Inc</t>
  </si>
  <si>
    <t>Cisco Systems Inc</t>
  </si>
  <si>
    <t>CoStar Group Inc</t>
  </si>
  <si>
    <t>CSX Corporation</t>
  </si>
  <si>
    <t>Cintas Corporation</t>
  </si>
  <si>
    <t>Catalent Inc</t>
  </si>
  <si>
    <t>Coterra Energy Inc</t>
  </si>
  <si>
    <t>Cognizant Technology Solutions Corp</t>
  </si>
  <si>
    <t>Corteva Inc</t>
  </si>
  <si>
    <t>CVS Health Corp</t>
  </si>
  <si>
    <t>Chevron Corporation</t>
  </si>
  <si>
    <t>Caesars Entertainment Inc</t>
  </si>
  <si>
    <t>Dominion Energy Inc</t>
  </si>
  <si>
    <t>Delta Air Lines, Inc.</t>
  </si>
  <si>
    <t>DuPont de Nemours Inc</t>
  </si>
  <si>
    <t>Deere &amp; Company</t>
  </si>
  <si>
    <t>Discover Financial Services</t>
  </si>
  <si>
    <t>Dollar General Corp</t>
  </si>
  <si>
    <t>Quest Diagnostics Inc</t>
  </si>
  <si>
    <t>DR Horton Inc</t>
  </si>
  <si>
    <t>Danaher Corporation</t>
  </si>
  <si>
    <t>Walt Disney Co</t>
  </si>
  <si>
    <t>Digital Realty Trust Inc</t>
  </si>
  <si>
    <t>Dollar Tree Inc</t>
  </si>
  <si>
    <t>Dover Corp</t>
  </si>
  <si>
    <t>Dow Inc</t>
  </si>
  <si>
    <t>Domino's Pizza Inc</t>
  </si>
  <si>
    <t>Darden Restaurants, Inc.</t>
  </si>
  <si>
    <t>DTE Energy Co</t>
  </si>
  <si>
    <t>Duke Energy Corp</t>
  </si>
  <si>
    <t>Davita Inc</t>
  </si>
  <si>
    <t>Devon Energy Corp</t>
  </si>
  <si>
    <t>DexCom, Inc.</t>
  </si>
  <si>
    <t>Electronic Arts Inc</t>
  </si>
  <si>
    <t>eBay Inc</t>
  </si>
  <si>
    <t>Ecolab Inc</t>
  </si>
  <si>
    <t>Consolidated Edison, Inc.</t>
  </si>
  <si>
    <t>Equifax Inc</t>
  </si>
  <si>
    <t>Everest Group Ltd</t>
  </si>
  <si>
    <t>Edison International</t>
  </si>
  <si>
    <t>Estee Lauder Companies Inc</t>
  </si>
  <si>
    <t>Elevance Health Inc</t>
  </si>
  <si>
    <t>Eastman Chemical Co</t>
  </si>
  <si>
    <t>Emerson Electric Co</t>
  </si>
  <si>
    <t>Enphase Energy Inc</t>
  </si>
  <si>
    <t>EOG Resources Inc</t>
  </si>
  <si>
    <t>EPAM Systems Inc</t>
  </si>
  <si>
    <t>Equinix Inc</t>
  </si>
  <si>
    <t>Equity Residential</t>
  </si>
  <si>
    <t>EQT Corp</t>
  </si>
  <si>
    <t>Eversource Energy</t>
  </si>
  <si>
    <t>Essex Property Trust Inc</t>
  </si>
  <si>
    <t>Eaton Corporation PLC</t>
  </si>
  <si>
    <t>Entergy Corp</t>
  </si>
  <si>
    <t>Etsy Inc</t>
  </si>
  <si>
    <t>Evergy Inc</t>
  </si>
  <si>
    <t>Edwards Lifesciences Corp</t>
  </si>
  <si>
    <t>Exelon Corp</t>
  </si>
  <si>
    <t>Expeditors International of Washngtn Inc</t>
  </si>
  <si>
    <t>Expedia Group Inc</t>
  </si>
  <si>
    <t>Extra Space Storage Inc</t>
  </si>
  <si>
    <t>Ford Motor Co</t>
  </si>
  <si>
    <t>Diamondback Energy Inc</t>
  </si>
  <si>
    <t>Fastenal Co</t>
  </si>
  <si>
    <t>Freeport-McMoRan Inc</t>
  </si>
  <si>
    <t>Factset Research Systems Inc</t>
  </si>
  <si>
    <t>FedEx Corp</t>
  </si>
  <si>
    <t>FirstEnergy Corp</t>
  </si>
  <si>
    <t>F5 Inc</t>
  </si>
  <si>
    <t>Fiserv Inc</t>
  </si>
  <si>
    <t>Fair Isaac Corp</t>
  </si>
  <si>
    <t>Fidelity National Information Servcs Inc</t>
  </si>
  <si>
    <t>Fifth Third Bancorp</t>
  </si>
  <si>
    <t>Fleetcor Technologies Inc</t>
  </si>
  <si>
    <t>FMC Corp</t>
  </si>
  <si>
    <t>Fox Corp Class B</t>
  </si>
  <si>
    <t>Fox Corp Class A</t>
  </si>
  <si>
    <t>Federal Realty Investment Trust</t>
  </si>
  <si>
    <t>First Solar Inc</t>
  </si>
  <si>
    <t>Fortinet Inc</t>
  </si>
  <si>
    <t>Fortive Corp</t>
  </si>
  <si>
    <t>General Dynamics Corp</t>
  </si>
  <si>
    <t>General Electric Co</t>
  </si>
  <si>
    <t>GE HealthCare Technologies Inc</t>
  </si>
  <si>
    <t>Gen Digital Inc</t>
  </si>
  <si>
    <t>Gilead Sciences, Inc.</t>
  </si>
  <si>
    <t>General Mills Inc</t>
  </si>
  <si>
    <t>Globe Life Inc</t>
  </si>
  <si>
    <t>Corning Incorporated</t>
  </si>
  <si>
    <t>General Motors Co</t>
  </si>
  <si>
    <t>Generac Holdings Inc</t>
  </si>
  <si>
    <t>Alphabet Inc Class C</t>
  </si>
  <si>
    <t>Alphabet Inc Class A</t>
  </si>
  <si>
    <t>Genuine Parts Co</t>
  </si>
  <si>
    <t>Global Payments Inc</t>
  </si>
  <si>
    <t>Garmin Ltd</t>
  </si>
  <si>
    <t>Goldman Sachs Group Inc</t>
  </si>
  <si>
    <t>WW Grainger Inc</t>
  </si>
  <si>
    <t>Halliburton Company</t>
  </si>
  <si>
    <t>Hasbro, Inc.</t>
  </si>
  <si>
    <t>Huntington Bancshares Incorporated</t>
  </si>
  <si>
    <t>HCA Healthcare Inc</t>
  </si>
  <si>
    <t>Home Depot Inc</t>
  </si>
  <si>
    <t>Hess Corp.</t>
  </si>
  <si>
    <t>Hartford Financial Services Group Inc</t>
  </si>
  <si>
    <t>Huntington Ingalls Industries Inc</t>
  </si>
  <si>
    <t>Hilton Hotels Corporation Common Stock</t>
  </si>
  <si>
    <t>Hologic, Inc.</t>
  </si>
  <si>
    <t>Honeywell International Inc</t>
  </si>
  <si>
    <t>Hewlett Packard Enterprise Co</t>
  </si>
  <si>
    <t>HP Inc</t>
  </si>
  <si>
    <t>Hormel Foods Corp</t>
  </si>
  <si>
    <t>Henry Schein, Inc.</t>
  </si>
  <si>
    <t>Host Hotels &amp; Resorts Inc</t>
  </si>
  <si>
    <t>Hershey Co</t>
  </si>
  <si>
    <t>Hubbell Incorporated</t>
  </si>
  <si>
    <t>Humana Inc</t>
  </si>
  <si>
    <t>Howmet Aerospace Inc</t>
  </si>
  <si>
    <t>IBM Common Stock</t>
  </si>
  <si>
    <t>Intercontinental Exchange Inc</t>
  </si>
  <si>
    <t>IDEXX Laboratories, Inc.</t>
  </si>
  <si>
    <t>IDEX Corporation</t>
  </si>
  <si>
    <t>International Flavors &amp; Fragrances Inc</t>
  </si>
  <si>
    <t>Illumina, Inc.</t>
  </si>
  <si>
    <t>Incyte Corporation</t>
  </si>
  <si>
    <t>Intel Corporation</t>
  </si>
  <si>
    <t>Intuit Inc.</t>
  </si>
  <si>
    <t>Invitation Homes Inc</t>
  </si>
  <si>
    <t>International Paper Co</t>
  </si>
  <si>
    <t>Interpublic Group of Companies Inc</t>
  </si>
  <si>
    <t>Iqvia Holdings Inc</t>
  </si>
  <si>
    <t>Ingersoll Rand Inc</t>
  </si>
  <si>
    <t>Iron Mountain Inc</t>
  </si>
  <si>
    <t>Intuitive Surgical, Inc.</t>
  </si>
  <si>
    <t>Gartner Inc</t>
  </si>
  <si>
    <t>Illinois Tool Works Inc.</t>
  </si>
  <si>
    <t>Invesco Ltd.</t>
  </si>
  <si>
    <t>Jacobs Solutions Inc</t>
  </si>
  <si>
    <t>J B Hunt Transport Services Inc</t>
  </si>
  <si>
    <t>Johnson Controls International PLC</t>
  </si>
  <si>
    <t>Jack Henry &amp; Associates, Inc.</t>
  </si>
  <si>
    <t>Johnson &amp; Johnson</t>
  </si>
  <si>
    <t>Juniper Networks, Inc.</t>
  </si>
  <si>
    <t>JPMorgan Chase &amp; Co</t>
  </si>
  <si>
    <t>Kellanova</t>
  </si>
  <si>
    <t>Keurig Dr Pepper Inc</t>
  </si>
  <si>
    <t>KeyCorp</t>
  </si>
  <si>
    <t>Keysight Technologies Inc</t>
  </si>
  <si>
    <t>Kraft Heinz Co</t>
  </si>
  <si>
    <t>Kimco Realty Corp</t>
  </si>
  <si>
    <t>KLA Corp</t>
  </si>
  <si>
    <t>Kimberly-Clark Corp</t>
  </si>
  <si>
    <t>Kinder Morgan Inc</t>
  </si>
  <si>
    <t>CarMax, Inc</t>
  </si>
  <si>
    <t>Coca-Cola Co</t>
  </si>
  <si>
    <t>Kroger Co</t>
  </si>
  <si>
    <t>Kenvue Inc</t>
  </si>
  <si>
    <t>Loews Corp</t>
  </si>
  <si>
    <t>Leidos Holdings Inc</t>
  </si>
  <si>
    <t>Lennar Corp</t>
  </si>
  <si>
    <t>Laboratory Corporation of Amerc Holdings</t>
  </si>
  <si>
    <t>L3Harris Technologies Inc</t>
  </si>
  <si>
    <t>Linde PLC</t>
  </si>
  <si>
    <t>LKQ Corp</t>
  </si>
  <si>
    <t>Eli Lilly And Co</t>
  </si>
  <si>
    <t>Lockheed Martin Corp</t>
  </si>
  <si>
    <t>Alliant Energy Corporation</t>
  </si>
  <si>
    <t>Lowe's Companies Inc</t>
  </si>
  <si>
    <t>Lam Research Corporation</t>
  </si>
  <si>
    <t>Lululemon Athletica Inc</t>
  </si>
  <si>
    <t>Southwest Airlines Co</t>
  </si>
  <si>
    <t>Las Vegas Sands Corp.</t>
  </si>
  <si>
    <t>Lamb Weston Holdings Inc</t>
  </si>
  <si>
    <t>LyondellBasell Industries NV</t>
  </si>
  <si>
    <t>Live Nation Entertainment Inc</t>
  </si>
  <si>
    <t>Mastercard Inc</t>
  </si>
  <si>
    <t>Mid-America Apartment Communities Inc</t>
  </si>
  <si>
    <t>Marriott International Inc</t>
  </si>
  <si>
    <t>Masco Corp</t>
  </si>
  <si>
    <t>McDonald's Corp</t>
  </si>
  <si>
    <t>Microchip Technology Inc</t>
  </si>
  <si>
    <t>McKesson Corp</t>
  </si>
  <si>
    <t>Moody's Corp</t>
  </si>
  <si>
    <t>MONDELEZ INTERNATIONAL INC Common Stock</t>
  </si>
  <si>
    <t>Medtronic PLC</t>
  </si>
  <si>
    <t>Metlife Inc</t>
  </si>
  <si>
    <t>Meta Platforms Inc</t>
  </si>
  <si>
    <t>MGM Resorts International</t>
  </si>
  <si>
    <t>Mohawk Industries Inc</t>
  </si>
  <si>
    <t>McCormick &amp; Company Inc</t>
  </si>
  <si>
    <t>Marketaxess Holdings Inc</t>
  </si>
  <si>
    <t>Martin Marietta Materials Inc</t>
  </si>
  <si>
    <t>Marsh &amp; McLennan Companies Inc</t>
  </si>
  <si>
    <t>3M Co</t>
  </si>
  <si>
    <t>Monster Beverage Corp</t>
  </si>
  <si>
    <t>Altria Group Inc</t>
  </si>
  <si>
    <t>Molina Healthcare Inc</t>
  </si>
  <si>
    <t>Mosaic Co</t>
  </si>
  <si>
    <t>Marathon Petroleum Corp</t>
  </si>
  <si>
    <t>Monolithic Power Systems Inc</t>
  </si>
  <si>
    <t>Merck &amp; Co Inc</t>
  </si>
  <si>
    <t>Moderna Inc</t>
  </si>
  <si>
    <t>Marathon Oil Corp</t>
  </si>
  <si>
    <t>Morgan Stanley</t>
  </si>
  <si>
    <t>Msci Inc</t>
  </si>
  <si>
    <t>Microsoft Corp</t>
  </si>
  <si>
    <t>Motorola Solutions Inc</t>
  </si>
  <si>
    <t>M&amp;t Bank Corp</t>
  </si>
  <si>
    <t>Match Group Inc</t>
  </si>
  <si>
    <t>Mettler-Toledo International Inc</t>
  </si>
  <si>
    <t>Micron Technology Inc</t>
  </si>
  <si>
    <t>Norwegian Cruise Line Holdings Ltd</t>
  </si>
  <si>
    <t>Nasdaq Inc</t>
  </si>
  <si>
    <t>Nordson Corp</t>
  </si>
  <si>
    <t>NextEra Energy Inc</t>
  </si>
  <si>
    <t>Newmont Corporation</t>
  </si>
  <si>
    <t>Netflix Inc</t>
  </si>
  <si>
    <t>NiSource Inc.</t>
  </si>
  <si>
    <t>Nike Inc</t>
  </si>
  <si>
    <t>Northrop Grumman Corp</t>
  </si>
  <si>
    <t>ServiceNow Inc</t>
  </si>
  <si>
    <t>NRG Energy Inc</t>
  </si>
  <si>
    <t>Norfolk Southern Corp</t>
  </si>
  <si>
    <t>NetApp Inc.</t>
  </si>
  <si>
    <t>Northern Trust Corp</t>
  </si>
  <si>
    <t>Nucor Corporation</t>
  </si>
  <si>
    <t>NVIDIA Corp</t>
  </si>
  <si>
    <t>NVR Inc</t>
  </si>
  <si>
    <t>News Corp Class B</t>
  </si>
  <si>
    <t>News Corp Class A</t>
  </si>
  <si>
    <t>NXP Semiconductors NV</t>
  </si>
  <si>
    <t>Realty Income Corp</t>
  </si>
  <si>
    <t>Old Dominion Freight Line Inc</t>
  </si>
  <si>
    <t>ONEOK, Inc.</t>
  </si>
  <si>
    <t>Omnicom Group Inc.</t>
  </si>
  <si>
    <t>ON Semiconductor Corp</t>
  </si>
  <si>
    <t>Oracle Corp</t>
  </si>
  <si>
    <t>O'Reilly Automotive Inc</t>
  </si>
  <si>
    <t>Otis Worldwide Corp</t>
  </si>
  <si>
    <t>Occidental Petroleum Corp</t>
  </si>
  <si>
    <t>Palo Alto Networks Inc</t>
  </si>
  <si>
    <t>Paramount Global Class B</t>
  </si>
  <si>
    <t>Paycom Software Inc</t>
  </si>
  <si>
    <t>Paychex, Inc.</t>
  </si>
  <si>
    <t>PACCAR Inc</t>
  </si>
  <si>
    <t>PG&amp;E Corporation</t>
  </si>
  <si>
    <t>Healthpeak Properties Inc</t>
  </si>
  <si>
    <t>Public Service Enterprise Group Inc.</t>
  </si>
  <si>
    <t>PepsiCo, Inc.</t>
  </si>
  <si>
    <t>Pfizer Inc.</t>
  </si>
  <si>
    <t>Principal Financial Group Inc</t>
  </si>
  <si>
    <t>Procter &amp; Gamble Co</t>
  </si>
  <si>
    <t>Progressive Corp</t>
  </si>
  <si>
    <t>Parker-Hannifin Corp</t>
  </si>
  <si>
    <t>PulteGroup, Inc.</t>
  </si>
  <si>
    <t>Packaging Corp Of America</t>
  </si>
  <si>
    <t>Prologis Inc</t>
  </si>
  <si>
    <t>Philip Morris International Inc.</t>
  </si>
  <si>
    <t>PNC Financial Services Group Inc</t>
  </si>
  <si>
    <t>Pentair PLC</t>
  </si>
  <si>
    <t>Pinnacle West Capital Corporation</t>
  </si>
  <si>
    <t>Insulet Corporation</t>
  </si>
  <si>
    <t>Pool Corporation</t>
  </si>
  <si>
    <t>PPG Industries, Inc.</t>
  </si>
  <si>
    <t>PPL Corp</t>
  </si>
  <si>
    <t>Prudential Financial Inc</t>
  </si>
  <si>
    <t>Public Storage</t>
  </si>
  <si>
    <t>Phillips 66</t>
  </si>
  <si>
    <t>PTC Inc</t>
  </si>
  <si>
    <t>Quanta Services Inc</t>
  </si>
  <si>
    <t>Pioneer Natural Resources Co</t>
  </si>
  <si>
    <t>PayPal Holdings Inc</t>
  </si>
  <si>
    <t>Qualcomm Inc</t>
  </si>
  <si>
    <t>Qorvo Inc</t>
  </si>
  <si>
    <t>Royal Caribbean Cruises Ltd</t>
  </si>
  <si>
    <t>Regency Centers Corp</t>
  </si>
  <si>
    <t>Regeneron Pharmaceuticals Inc</t>
  </si>
  <si>
    <t>Regions Financial Corp</t>
  </si>
  <si>
    <t>Robert Half Inc</t>
  </si>
  <si>
    <t>Raymond James Financial Inc</t>
  </si>
  <si>
    <t>Ralph Lauren Corp</t>
  </si>
  <si>
    <t>Resmed Inc</t>
  </si>
  <si>
    <t>Rockwell Automation Inc</t>
  </si>
  <si>
    <t>Rollins Inc</t>
  </si>
  <si>
    <t>Roper Technologies Inc</t>
  </si>
  <si>
    <t>Ross Stores Inc</t>
  </si>
  <si>
    <t>Republic Services Inc</t>
  </si>
  <si>
    <t>Rtx Corp</t>
  </si>
  <si>
    <t>Revvity Inc</t>
  </si>
  <si>
    <t>SBA Communications Corp</t>
  </si>
  <si>
    <t>Starbucks Corp</t>
  </si>
  <si>
    <t>Charles Schwab Corporation Common Stock</t>
  </si>
  <si>
    <t>Solaredge Technologies Inc</t>
  </si>
  <si>
    <t>Sealed Air Corp</t>
  </si>
  <si>
    <t>Sherwin-Williams Co</t>
  </si>
  <si>
    <t>J M Smucker Co</t>
  </si>
  <si>
    <t>Schlumberger NV</t>
  </si>
  <si>
    <t>Snap-On Inc</t>
  </si>
  <si>
    <t>Synopsys Inc</t>
  </si>
  <si>
    <t>Southern Co</t>
  </si>
  <si>
    <t>Simon Property Group Inc</t>
  </si>
  <si>
    <t>S&amp;P Global Inc</t>
  </si>
  <si>
    <t>Sempra</t>
  </si>
  <si>
    <t>Steris PLC</t>
  </si>
  <si>
    <t>Steel Dynamics Inc</t>
  </si>
  <si>
    <t>State Street Corp</t>
  </si>
  <si>
    <t>Seagate Technology Holdings PLC</t>
  </si>
  <si>
    <t>Constellation Brands, Inc.</t>
  </si>
  <si>
    <t>Stanley Black &amp; Decker Inc</t>
  </si>
  <si>
    <t>Skyworks Solutions Inc</t>
  </si>
  <si>
    <t>Synchrony Financial</t>
  </si>
  <si>
    <t>Stryker Corp</t>
  </si>
  <si>
    <t>Sysco Corp</t>
  </si>
  <si>
    <t>AT&amp;T Inc.</t>
  </si>
  <si>
    <t>Molson Coors Beverage Co Class B</t>
  </si>
  <si>
    <t>TransDigm Group Inc</t>
  </si>
  <si>
    <t>Teledyne Technologies Inc</t>
  </si>
  <si>
    <t>BIO-TECHNE Corp</t>
  </si>
  <si>
    <t>TE Connectivity Ltd</t>
  </si>
  <si>
    <t>Teradyne Inc</t>
  </si>
  <si>
    <t>Truist Financial Corp</t>
  </si>
  <si>
    <t>Teleflex Inc</t>
  </si>
  <si>
    <t>Target Corp</t>
  </si>
  <si>
    <t>TJX Companies Inc</t>
  </si>
  <si>
    <t>Thermo Fisher Scientific Inc</t>
  </si>
  <si>
    <t>T-Mobile Us Inc</t>
  </si>
  <si>
    <t>Tapestry Inc</t>
  </si>
  <si>
    <t>Targa Resources Corp</t>
  </si>
  <si>
    <t>Trimble Inc</t>
  </si>
  <si>
    <t>T Rowe Price Group Inc</t>
  </si>
  <si>
    <t>Travelers Companies Inc</t>
  </si>
  <si>
    <t>Tractor Supply Co</t>
  </si>
  <si>
    <t>Tesla Inc</t>
  </si>
  <si>
    <t>Tyson Foods Inc</t>
  </si>
  <si>
    <t>Trane Technologies PLC</t>
  </si>
  <si>
    <t>TAKE-TWO INTERACTIVE SOFTWARE, INC Common Stock</t>
  </si>
  <si>
    <t>Texas Instruments Inc</t>
  </si>
  <si>
    <t>Textron Inc</t>
  </si>
  <si>
    <t>Tyler Technologies Inc</t>
  </si>
  <si>
    <t>United Airlines Holdings Inc</t>
  </si>
  <si>
    <t>UDR Inc</t>
  </si>
  <si>
    <t>Universal Health Services, Inc.</t>
  </si>
  <si>
    <t>Ulta Beauty Inc</t>
  </si>
  <si>
    <t>UnitedHealth Group Inc</t>
  </si>
  <si>
    <t>Union Pacific Corp</t>
  </si>
  <si>
    <t>United Parcel Service, Inc.</t>
  </si>
  <si>
    <t>United Rentals, Inc.</t>
  </si>
  <si>
    <t>US Bancorp</t>
  </si>
  <si>
    <t>Visa Inc</t>
  </si>
  <si>
    <t>VF Corp</t>
  </si>
  <si>
    <t>VICI Properties Inc</t>
  </si>
  <si>
    <t>Valero Energy Corporation</t>
  </si>
  <si>
    <t>Veralto Corp</t>
  </si>
  <si>
    <t>Vulcan Materials Company</t>
  </si>
  <si>
    <t>Verisk Analytics, Inc.</t>
  </si>
  <si>
    <t>Verisign, Inc.</t>
  </si>
  <si>
    <t>Vertex Pharmaceuticals Incorporated</t>
  </si>
  <si>
    <t>Ventas, Inc.</t>
  </si>
  <si>
    <t>Viatris Inc</t>
  </si>
  <si>
    <t>Verizon Communications Inc.</t>
  </si>
  <si>
    <t>Westinghouse Air Brake Technologies Corp</t>
  </si>
  <si>
    <t>Waters Corporation</t>
  </si>
  <si>
    <t>Walgreens Boots Alliance Inc</t>
  </si>
  <si>
    <t>Warner Bros Discovery Inc</t>
  </si>
  <si>
    <t>Western Digital Corp</t>
  </si>
  <si>
    <t>WEC Energy Group Inc</t>
  </si>
  <si>
    <t>Welltower Inc</t>
  </si>
  <si>
    <t>Wells Fargo &amp; Co</t>
  </si>
  <si>
    <t>Whirlpool Corporation</t>
  </si>
  <si>
    <t>Waste Management, Inc.</t>
  </si>
  <si>
    <t>Williams Companies Inc</t>
  </si>
  <si>
    <t>Walmart Inc</t>
  </si>
  <si>
    <t>W R Berkley Corp</t>
  </si>
  <si>
    <t>WestRock Co</t>
  </si>
  <si>
    <t>West Pharmaceutical Services Inc.</t>
  </si>
  <si>
    <t>Willis Towers Watson PLC</t>
  </si>
  <si>
    <t>Weyerhaeuser Co</t>
  </si>
  <si>
    <t>Wynn Resorts, Limited</t>
  </si>
  <si>
    <t>Xcel Energy Inc</t>
  </si>
  <si>
    <t>Exxon Mobil Corp</t>
  </si>
  <si>
    <t>DENTSPLY SIRONA Inc</t>
  </si>
  <si>
    <t>Xylem Inc</t>
  </si>
  <si>
    <t>Yum! Brands, Inc.</t>
  </si>
  <si>
    <t>Zimmer Biomet Holdings Inc</t>
  </si>
  <si>
    <t>Zebra Technologies Corp.</t>
  </si>
  <si>
    <t>Zions Bancorporation NA</t>
  </si>
  <si>
    <t>Zoetis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</si>
</sst>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\ h:mm:ss"/>
    <numFmt numFmtId="165" formatCode="_(* #,##0_);_(* \(#,##0\);_(* &quot;-&quot;??_);_(@_)"/>
  </numFmts>
  <fonts count="8">
    <font>
      <sz val="10"/>
      <color rgb="FF000000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2"/>
      <color rgb="FF0563C1"/>
      <name val="Calibri"/>
      <family val="2"/>
    </font>
    <font>
      <sz val="11"/>
      <color rgb="FF000000"/>
      <name val="Inconsolata"/>
    </font>
    <font>
      <u/>
      <sz val="12"/>
      <color rgb="FF0563C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C0C0C0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7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2" borderId="0" xfId="0" applyFont="1" applyFill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2" fillId="0" borderId="0" xfId="0" applyNumberFormat="1" applyFont="1"/>
    <xf numFmtId="0" fontId="6" fillId="2" borderId="0" xfId="0" applyFont="1" applyFill="1" applyAlignment="1"/>
    <xf numFmtId="44" fontId="2" fillId="0" borderId="0" xfId="2" applyFont="1" applyAlignment="1"/>
    <xf numFmtId="44" fontId="5" fillId="2" borderId="0" xfId="2" applyFont="1" applyFill="1"/>
    <xf numFmtId="44" fontId="0" fillId="0" borderId="0" xfId="2" applyFont="1" applyAlignment="1"/>
    <xf numFmtId="165" fontId="2" fillId="0" borderId="0" xfId="1" applyNumberFormat="1" applyFont="1" applyAlignment="1"/>
    <xf numFmtId="165" fontId="3" fillId="0" borderId="0" xfId="1" applyNumberFormat="1" applyFont="1" applyAlignment="1">
      <alignment horizontal="right"/>
    </xf>
    <xf numFmtId="165" fontId="0" fillId="0" borderId="0" xfId="1" applyNumberFormat="1" applyFont="1" applyAlignment="1"/>
    <xf numFmtId="44" fontId="3" fillId="0" borderId="0" xfId="2" applyFont="1" applyAlignment="1">
      <alignment horizontal="right"/>
    </xf>
    <xf numFmtId="44" fontId="3" fillId="0" borderId="0" xfId="2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lickcharts.com/symbol/CRM" TargetMode="External"/><Relationship Id="rId299" Type="http://schemas.openxmlformats.org/officeDocument/2006/relationships/hyperlink" Target="https://www.slickcharts.com/symbol/MCO" TargetMode="External"/><Relationship Id="rId21" Type="http://schemas.openxmlformats.org/officeDocument/2006/relationships/hyperlink" Target="https://www.slickcharts.com/symbol/AKAM" TargetMode="External"/><Relationship Id="rId63" Type="http://schemas.openxmlformats.org/officeDocument/2006/relationships/hyperlink" Target="https://www.slickcharts.com/symbol/BIO" TargetMode="External"/><Relationship Id="rId159" Type="http://schemas.openxmlformats.org/officeDocument/2006/relationships/hyperlink" Target="https://www.slickcharts.com/symbol/EMN" TargetMode="External"/><Relationship Id="rId324" Type="http://schemas.openxmlformats.org/officeDocument/2006/relationships/hyperlink" Target="https://www.slickcharts.com/symbol/MTB" TargetMode="External"/><Relationship Id="rId366" Type="http://schemas.openxmlformats.org/officeDocument/2006/relationships/hyperlink" Target="https://www.slickcharts.com/symbol/PFE" TargetMode="External"/><Relationship Id="rId170" Type="http://schemas.openxmlformats.org/officeDocument/2006/relationships/hyperlink" Target="https://www.slickcharts.com/symbol/ETR" TargetMode="External"/><Relationship Id="rId226" Type="http://schemas.openxmlformats.org/officeDocument/2006/relationships/hyperlink" Target="https://www.slickcharts.com/symbol/HPE" TargetMode="External"/><Relationship Id="rId433" Type="http://schemas.openxmlformats.org/officeDocument/2006/relationships/hyperlink" Target="https://www.slickcharts.com/symbol/TDY" TargetMode="External"/><Relationship Id="rId268" Type="http://schemas.openxmlformats.org/officeDocument/2006/relationships/hyperlink" Target="https://www.slickcharts.com/symbol/KMB" TargetMode="External"/><Relationship Id="rId475" Type="http://schemas.openxmlformats.org/officeDocument/2006/relationships/hyperlink" Target="https://www.slickcharts.com/symbol/VTRS" TargetMode="External"/><Relationship Id="rId32" Type="http://schemas.openxmlformats.org/officeDocument/2006/relationships/hyperlink" Target="https://www.slickcharts.com/symbol/AMP" TargetMode="External"/><Relationship Id="rId74" Type="http://schemas.openxmlformats.org/officeDocument/2006/relationships/hyperlink" Target="https://www.slickcharts.com/symbol/BX" TargetMode="External"/><Relationship Id="rId128" Type="http://schemas.openxmlformats.org/officeDocument/2006/relationships/hyperlink" Target="https://www.slickcharts.com/symbol/CZR" TargetMode="External"/><Relationship Id="rId335" Type="http://schemas.openxmlformats.org/officeDocument/2006/relationships/hyperlink" Target="https://www.slickcharts.com/symbol/NKE" TargetMode="External"/><Relationship Id="rId377" Type="http://schemas.openxmlformats.org/officeDocument/2006/relationships/hyperlink" Target="https://www.slickcharts.com/symbol/PNW" TargetMode="External"/><Relationship Id="rId500" Type="http://schemas.openxmlformats.org/officeDocument/2006/relationships/hyperlink" Target="https://www.slickcharts.com/symbol/ZBH" TargetMode="External"/><Relationship Id="rId5" Type="http://schemas.openxmlformats.org/officeDocument/2006/relationships/hyperlink" Target="https://www.slickcharts.com/symbol/ABNB" TargetMode="External"/><Relationship Id="rId181" Type="http://schemas.openxmlformats.org/officeDocument/2006/relationships/hyperlink" Target="https://www.slickcharts.com/symbol/FCX" TargetMode="External"/><Relationship Id="rId237" Type="http://schemas.openxmlformats.org/officeDocument/2006/relationships/hyperlink" Target="https://www.slickcharts.com/symbol/IDXX" TargetMode="External"/><Relationship Id="rId402" Type="http://schemas.openxmlformats.org/officeDocument/2006/relationships/hyperlink" Target="https://www.slickcharts.com/symbol/ROST" TargetMode="External"/><Relationship Id="rId279" Type="http://schemas.openxmlformats.org/officeDocument/2006/relationships/hyperlink" Target="https://www.slickcharts.com/symbol/LIN" TargetMode="External"/><Relationship Id="rId444" Type="http://schemas.openxmlformats.org/officeDocument/2006/relationships/hyperlink" Target="https://www.slickcharts.com/symbol/TRGP" TargetMode="External"/><Relationship Id="rId486" Type="http://schemas.openxmlformats.org/officeDocument/2006/relationships/hyperlink" Target="https://www.slickcharts.com/symbol/WM" TargetMode="External"/><Relationship Id="rId43" Type="http://schemas.openxmlformats.org/officeDocument/2006/relationships/hyperlink" Target="https://www.slickcharts.com/symbol/ARE" TargetMode="External"/><Relationship Id="rId139" Type="http://schemas.openxmlformats.org/officeDocument/2006/relationships/hyperlink" Target="https://www.slickcharts.com/symbol/DLR" TargetMode="External"/><Relationship Id="rId290" Type="http://schemas.openxmlformats.org/officeDocument/2006/relationships/hyperlink" Target="https://www.slickcharts.com/symbol/LYB" TargetMode="External"/><Relationship Id="rId304" Type="http://schemas.openxmlformats.org/officeDocument/2006/relationships/hyperlink" Target="https://www.slickcharts.com/symbol/MGM" TargetMode="External"/><Relationship Id="rId346" Type="http://schemas.openxmlformats.org/officeDocument/2006/relationships/hyperlink" Target="https://www.slickcharts.com/symbol/NWSA" TargetMode="External"/><Relationship Id="rId388" Type="http://schemas.openxmlformats.org/officeDocument/2006/relationships/hyperlink" Target="https://www.slickcharts.com/symbol/PYPL" TargetMode="External"/><Relationship Id="rId85" Type="http://schemas.openxmlformats.org/officeDocument/2006/relationships/hyperlink" Target="https://www.slickcharts.com/symbol/CCL" TargetMode="External"/><Relationship Id="rId150" Type="http://schemas.openxmlformats.org/officeDocument/2006/relationships/hyperlink" Target="https://www.slickcharts.com/symbol/EA" TargetMode="External"/><Relationship Id="rId192" Type="http://schemas.openxmlformats.org/officeDocument/2006/relationships/hyperlink" Target="https://www.slickcharts.com/symbol/FOX" TargetMode="External"/><Relationship Id="rId206" Type="http://schemas.openxmlformats.org/officeDocument/2006/relationships/hyperlink" Target="https://www.slickcharts.com/symbol/GM" TargetMode="External"/><Relationship Id="rId413" Type="http://schemas.openxmlformats.org/officeDocument/2006/relationships/hyperlink" Target="https://www.slickcharts.com/symbol/SLB" TargetMode="External"/><Relationship Id="rId248" Type="http://schemas.openxmlformats.org/officeDocument/2006/relationships/hyperlink" Target="https://www.slickcharts.com/symbol/IR" TargetMode="External"/><Relationship Id="rId455" Type="http://schemas.openxmlformats.org/officeDocument/2006/relationships/hyperlink" Target="https://www.slickcharts.com/symbol/TYL" TargetMode="External"/><Relationship Id="rId497" Type="http://schemas.openxmlformats.org/officeDocument/2006/relationships/hyperlink" Target="https://www.slickcharts.com/symbol/XRAY" TargetMode="External"/><Relationship Id="rId12" Type="http://schemas.openxmlformats.org/officeDocument/2006/relationships/hyperlink" Target="https://www.slickcharts.com/symbol/ADP" TargetMode="External"/><Relationship Id="rId108" Type="http://schemas.openxmlformats.org/officeDocument/2006/relationships/hyperlink" Target="https://www.slickcharts.com/symbol/COF" TargetMode="External"/><Relationship Id="rId315" Type="http://schemas.openxmlformats.org/officeDocument/2006/relationships/hyperlink" Target="https://www.slickcharts.com/symbol/MPC" TargetMode="External"/><Relationship Id="rId357" Type="http://schemas.openxmlformats.org/officeDocument/2006/relationships/hyperlink" Target="https://www.slickcharts.com/symbol/PANW" TargetMode="External"/><Relationship Id="rId54" Type="http://schemas.openxmlformats.org/officeDocument/2006/relationships/hyperlink" Target="https://www.slickcharts.com/symbol/BALL" TargetMode="External"/><Relationship Id="rId96" Type="http://schemas.openxmlformats.org/officeDocument/2006/relationships/hyperlink" Target="https://www.slickcharts.com/symbol/CI" TargetMode="External"/><Relationship Id="rId161" Type="http://schemas.openxmlformats.org/officeDocument/2006/relationships/hyperlink" Target="https://www.slickcharts.com/symbol/ENPH" TargetMode="External"/><Relationship Id="rId217" Type="http://schemas.openxmlformats.org/officeDocument/2006/relationships/hyperlink" Target="https://www.slickcharts.com/symbol/HBAN" TargetMode="External"/><Relationship Id="rId399" Type="http://schemas.openxmlformats.org/officeDocument/2006/relationships/hyperlink" Target="https://www.slickcharts.com/symbol/ROK" TargetMode="External"/><Relationship Id="rId259" Type="http://schemas.openxmlformats.org/officeDocument/2006/relationships/hyperlink" Target="https://www.slickcharts.com/symbol/JNPR" TargetMode="External"/><Relationship Id="rId424" Type="http://schemas.openxmlformats.org/officeDocument/2006/relationships/hyperlink" Target="https://www.slickcharts.com/symbol/STZ" TargetMode="External"/><Relationship Id="rId466" Type="http://schemas.openxmlformats.org/officeDocument/2006/relationships/hyperlink" Target="https://www.slickcharts.com/symbol/VFC" TargetMode="External"/><Relationship Id="rId23" Type="http://schemas.openxmlformats.org/officeDocument/2006/relationships/hyperlink" Target="https://www.slickcharts.com/symbol/ALGN" TargetMode="External"/><Relationship Id="rId119" Type="http://schemas.openxmlformats.org/officeDocument/2006/relationships/hyperlink" Target="https://www.slickcharts.com/symbol/CSGP" TargetMode="External"/><Relationship Id="rId270" Type="http://schemas.openxmlformats.org/officeDocument/2006/relationships/hyperlink" Target="https://www.slickcharts.com/symbol/KMX" TargetMode="External"/><Relationship Id="rId326" Type="http://schemas.openxmlformats.org/officeDocument/2006/relationships/hyperlink" Target="https://www.slickcharts.com/symbol/MTD" TargetMode="External"/><Relationship Id="rId65" Type="http://schemas.openxmlformats.org/officeDocument/2006/relationships/hyperlink" Target="https://www.slickcharts.com/symbol/BKNG" TargetMode="External"/><Relationship Id="rId130" Type="http://schemas.openxmlformats.org/officeDocument/2006/relationships/hyperlink" Target="https://www.slickcharts.com/symbol/DAL" TargetMode="External"/><Relationship Id="rId368" Type="http://schemas.openxmlformats.org/officeDocument/2006/relationships/hyperlink" Target="https://www.slickcharts.com/symbol/PG" TargetMode="External"/><Relationship Id="rId172" Type="http://schemas.openxmlformats.org/officeDocument/2006/relationships/hyperlink" Target="https://www.slickcharts.com/symbol/EVRG" TargetMode="External"/><Relationship Id="rId228" Type="http://schemas.openxmlformats.org/officeDocument/2006/relationships/hyperlink" Target="https://www.slickcharts.com/symbol/HRL" TargetMode="External"/><Relationship Id="rId435" Type="http://schemas.openxmlformats.org/officeDocument/2006/relationships/hyperlink" Target="https://www.slickcharts.com/symbol/TEL" TargetMode="External"/><Relationship Id="rId477" Type="http://schemas.openxmlformats.org/officeDocument/2006/relationships/hyperlink" Target="https://www.slickcharts.com/symbol/WAB" TargetMode="External"/><Relationship Id="rId281" Type="http://schemas.openxmlformats.org/officeDocument/2006/relationships/hyperlink" Target="https://www.slickcharts.com/symbol/LLY" TargetMode="External"/><Relationship Id="rId337" Type="http://schemas.openxmlformats.org/officeDocument/2006/relationships/hyperlink" Target="https://www.slickcharts.com/symbol/NOW" TargetMode="External"/><Relationship Id="rId502" Type="http://schemas.openxmlformats.org/officeDocument/2006/relationships/hyperlink" Target="https://www.slickcharts.com/symbol/ZION" TargetMode="External"/><Relationship Id="rId34" Type="http://schemas.openxmlformats.org/officeDocument/2006/relationships/hyperlink" Target="https://www.slickcharts.com/symbol/AMZN" TargetMode="External"/><Relationship Id="rId76" Type="http://schemas.openxmlformats.org/officeDocument/2006/relationships/hyperlink" Target="https://www.slickcharts.com/symbol/C" TargetMode="External"/><Relationship Id="rId141" Type="http://schemas.openxmlformats.org/officeDocument/2006/relationships/hyperlink" Target="https://www.slickcharts.com/symbol/DOV" TargetMode="External"/><Relationship Id="rId379" Type="http://schemas.openxmlformats.org/officeDocument/2006/relationships/hyperlink" Target="https://www.slickcharts.com/symbol/POOL" TargetMode="External"/><Relationship Id="rId7" Type="http://schemas.openxmlformats.org/officeDocument/2006/relationships/hyperlink" Target="https://www.slickcharts.com/symbol/ACGL" TargetMode="External"/><Relationship Id="rId183" Type="http://schemas.openxmlformats.org/officeDocument/2006/relationships/hyperlink" Target="https://www.slickcharts.com/symbol/FDX" TargetMode="External"/><Relationship Id="rId239" Type="http://schemas.openxmlformats.org/officeDocument/2006/relationships/hyperlink" Target="https://www.slickcharts.com/symbol/IFF" TargetMode="External"/><Relationship Id="rId390" Type="http://schemas.openxmlformats.org/officeDocument/2006/relationships/hyperlink" Target="https://www.slickcharts.com/symbol/QRVO" TargetMode="External"/><Relationship Id="rId404" Type="http://schemas.openxmlformats.org/officeDocument/2006/relationships/hyperlink" Target="https://www.slickcharts.com/symbol/RTX" TargetMode="External"/><Relationship Id="rId446" Type="http://schemas.openxmlformats.org/officeDocument/2006/relationships/hyperlink" Target="https://www.slickcharts.com/symbol/TROW" TargetMode="External"/><Relationship Id="rId250" Type="http://schemas.openxmlformats.org/officeDocument/2006/relationships/hyperlink" Target="https://www.slickcharts.com/symbol/ISRG" TargetMode="External"/><Relationship Id="rId292" Type="http://schemas.openxmlformats.org/officeDocument/2006/relationships/hyperlink" Target="https://www.slickcharts.com/symbol/MA" TargetMode="External"/><Relationship Id="rId306" Type="http://schemas.openxmlformats.org/officeDocument/2006/relationships/hyperlink" Target="https://www.slickcharts.com/symbol/MKC" TargetMode="External"/><Relationship Id="rId488" Type="http://schemas.openxmlformats.org/officeDocument/2006/relationships/hyperlink" Target="https://www.slickcharts.com/symbol/WMT" TargetMode="External"/><Relationship Id="rId45" Type="http://schemas.openxmlformats.org/officeDocument/2006/relationships/hyperlink" Target="https://www.slickcharts.com/symbol/AVB" TargetMode="External"/><Relationship Id="rId87" Type="http://schemas.openxmlformats.org/officeDocument/2006/relationships/hyperlink" Target="https://www.slickcharts.com/symbol/CDNS" TargetMode="External"/><Relationship Id="rId110" Type="http://schemas.openxmlformats.org/officeDocument/2006/relationships/hyperlink" Target="https://www.slickcharts.com/symbol/COP" TargetMode="External"/><Relationship Id="rId348" Type="http://schemas.openxmlformats.org/officeDocument/2006/relationships/hyperlink" Target="https://www.slickcharts.com/symbol/O" TargetMode="External"/><Relationship Id="rId152" Type="http://schemas.openxmlformats.org/officeDocument/2006/relationships/hyperlink" Target="https://www.slickcharts.com/symbol/ECL" TargetMode="External"/><Relationship Id="rId194" Type="http://schemas.openxmlformats.org/officeDocument/2006/relationships/hyperlink" Target="https://www.slickcharts.com/symbol/FRT" TargetMode="External"/><Relationship Id="rId208" Type="http://schemas.openxmlformats.org/officeDocument/2006/relationships/hyperlink" Target="https://www.slickcharts.com/symbol/GOOG" TargetMode="External"/><Relationship Id="rId415" Type="http://schemas.openxmlformats.org/officeDocument/2006/relationships/hyperlink" Target="https://www.slickcharts.com/symbol/SNPS" TargetMode="External"/><Relationship Id="rId457" Type="http://schemas.openxmlformats.org/officeDocument/2006/relationships/hyperlink" Target="https://www.slickcharts.com/symbol/UDR" TargetMode="External"/><Relationship Id="rId261" Type="http://schemas.openxmlformats.org/officeDocument/2006/relationships/hyperlink" Target="https://www.slickcharts.com/symbol/K" TargetMode="External"/><Relationship Id="rId499" Type="http://schemas.openxmlformats.org/officeDocument/2006/relationships/hyperlink" Target="https://www.slickcharts.com/symbol/YUM" TargetMode="External"/><Relationship Id="rId14" Type="http://schemas.openxmlformats.org/officeDocument/2006/relationships/hyperlink" Target="https://www.slickcharts.com/symbol/AEE" TargetMode="External"/><Relationship Id="rId56" Type="http://schemas.openxmlformats.org/officeDocument/2006/relationships/hyperlink" Target="https://www.slickcharts.com/symbol/BBWI" TargetMode="External"/><Relationship Id="rId317" Type="http://schemas.openxmlformats.org/officeDocument/2006/relationships/hyperlink" Target="https://www.slickcharts.com/symbol/MRK" TargetMode="External"/><Relationship Id="rId359" Type="http://schemas.openxmlformats.org/officeDocument/2006/relationships/hyperlink" Target="https://www.slickcharts.com/symbol/PAYC" TargetMode="External"/><Relationship Id="rId98" Type="http://schemas.openxmlformats.org/officeDocument/2006/relationships/hyperlink" Target="https://www.slickcharts.com/symbol/CL" TargetMode="External"/><Relationship Id="rId121" Type="http://schemas.openxmlformats.org/officeDocument/2006/relationships/hyperlink" Target="https://www.slickcharts.com/symbol/CTAS" TargetMode="External"/><Relationship Id="rId163" Type="http://schemas.openxmlformats.org/officeDocument/2006/relationships/hyperlink" Target="https://www.slickcharts.com/symbol/EPAM" TargetMode="External"/><Relationship Id="rId219" Type="http://schemas.openxmlformats.org/officeDocument/2006/relationships/hyperlink" Target="https://www.slickcharts.com/symbol/HD" TargetMode="External"/><Relationship Id="rId370" Type="http://schemas.openxmlformats.org/officeDocument/2006/relationships/hyperlink" Target="https://www.slickcharts.com/symbol/PH" TargetMode="External"/><Relationship Id="rId426" Type="http://schemas.openxmlformats.org/officeDocument/2006/relationships/hyperlink" Target="https://www.slickcharts.com/symbol/SWKS" TargetMode="External"/><Relationship Id="rId230" Type="http://schemas.openxmlformats.org/officeDocument/2006/relationships/hyperlink" Target="https://www.slickcharts.com/symbol/HST" TargetMode="External"/><Relationship Id="rId468" Type="http://schemas.openxmlformats.org/officeDocument/2006/relationships/hyperlink" Target="https://www.slickcharts.com/symbol/VLO" TargetMode="External"/><Relationship Id="rId25" Type="http://schemas.openxmlformats.org/officeDocument/2006/relationships/hyperlink" Target="https://www.slickcharts.com/symbol/ALL" TargetMode="External"/><Relationship Id="rId67" Type="http://schemas.openxmlformats.org/officeDocument/2006/relationships/hyperlink" Target="https://www.slickcharts.com/symbol/BLK" TargetMode="External"/><Relationship Id="rId272" Type="http://schemas.openxmlformats.org/officeDocument/2006/relationships/hyperlink" Target="https://www.slickcharts.com/symbol/KR" TargetMode="External"/><Relationship Id="rId328" Type="http://schemas.openxmlformats.org/officeDocument/2006/relationships/hyperlink" Target="https://www.slickcharts.com/symbol/NCLH" TargetMode="External"/><Relationship Id="rId132" Type="http://schemas.openxmlformats.org/officeDocument/2006/relationships/hyperlink" Target="https://www.slickcharts.com/symbol/DE" TargetMode="External"/><Relationship Id="rId174" Type="http://schemas.openxmlformats.org/officeDocument/2006/relationships/hyperlink" Target="https://www.slickcharts.com/symbol/EXC" TargetMode="External"/><Relationship Id="rId381" Type="http://schemas.openxmlformats.org/officeDocument/2006/relationships/hyperlink" Target="https://www.slickcharts.com/symbol/PPL" TargetMode="External"/><Relationship Id="rId241" Type="http://schemas.openxmlformats.org/officeDocument/2006/relationships/hyperlink" Target="https://www.slickcharts.com/symbol/INCY" TargetMode="External"/><Relationship Id="rId437" Type="http://schemas.openxmlformats.org/officeDocument/2006/relationships/hyperlink" Target="https://www.slickcharts.com/symbol/TFC" TargetMode="External"/><Relationship Id="rId479" Type="http://schemas.openxmlformats.org/officeDocument/2006/relationships/hyperlink" Target="https://www.slickcharts.com/symbol/WBA" TargetMode="External"/><Relationship Id="rId36" Type="http://schemas.openxmlformats.org/officeDocument/2006/relationships/hyperlink" Target="https://www.slickcharts.com/symbol/ANSS" TargetMode="External"/><Relationship Id="rId283" Type="http://schemas.openxmlformats.org/officeDocument/2006/relationships/hyperlink" Target="https://www.slickcharts.com/symbol/LNT" TargetMode="External"/><Relationship Id="rId339" Type="http://schemas.openxmlformats.org/officeDocument/2006/relationships/hyperlink" Target="https://www.slickcharts.com/symbol/NSC" TargetMode="External"/><Relationship Id="rId490" Type="http://schemas.openxmlformats.org/officeDocument/2006/relationships/hyperlink" Target="https://www.slickcharts.com/symbol/WRK" TargetMode="External"/><Relationship Id="rId78" Type="http://schemas.openxmlformats.org/officeDocument/2006/relationships/hyperlink" Target="https://www.slickcharts.com/symbol/CAH" TargetMode="External"/><Relationship Id="rId101" Type="http://schemas.openxmlformats.org/officeDocument/2006/relationships/hyperlink" Target="https://www.slickcharts.com/symbol/CMCSA" TargetMode="External"/><Relationship Id="rId143" Type="http://schemas.openxmlformats.org/officeDocument/2006/relationships/hyperlink" Target="https://www.slickcharts.com/symbol/DPZ" TargetMode="External"/><Relationship Id="rId185" Type="http://schemas.openxmlformats.org/officeDocument/2006/relationships/hyperlink" Target="https://www.slickcharts.com/symbol/FFIV" TargetMode="External"/><Relationship Id="rId350" Type="http://schemas.openxmlformats.org/officeDocument/2006/relationships/hyperlink" Target="https://www.slickcharts.com/symbol/OKE" TargetMode="External"/><Relationship Id="rId406" Type="http://schemas.openxmlformats.org/officeDocument/2006/relationships/hyperlink" Target="https://www.slickcharts.com/symbol/SBAC" TargetMode="External"/><Relationship Id="rId9" Type="http://schemas.openxmlformats.org/officeDocument/2006/relationships/hyperlink" Target="https://www.slickcharts.com/symbol/ADBE" TargetMode="External"/><Relationship Id="rId210" Type="http://schemas.openxmlformats.org/officeDocument/2006/relationships/hyperlink" Target="https://www.slickcharts.com/symbol/GPC" TargetMode="External"/><Relationship Id="rId392" Type="http://schemas.openxmlformats.org/officeDocument/2006/relationships/hyperlink" Target="https://www.slickcharts.com/symbol/REG" TargetMode="External"/><Relationship Id="rId448" Type="http://schemas.openxmlformats.org/officeDocument/2006/relationships/hyperlink" Target="https://www.slickcharts.com/symbol/TSCO" TargetMode="External"/><Relationship Id="rId252" Type="http://schemas.openxmlformats.org/officeDocument/2006/relationships/hyperlink" Target="https://www.slickcharts.com/symbol/ITW" TargetMode="External"/><Relationship Id="rId294" Type="http://schemas.openxmlformats.org/officeDocument/2006/relationships/hyperlink" Target="https://www.slickcharts.com/symbol/MAR" TargetMode="External"/><Relationship Id="rId308" Type="http://schemas.openxmlformats.org/officeDocument/2006/relationships/hyperlink" Target="https://www.slickcharts.com/symbol/MLM" TargetMode="External"/><Relationship Id="rId47" Type="http://schemas.openxmlformats.org/officeDocument/2006/relationships/hyperlink" Target="https://www.slickcharts.com/symbol/AVY" TargetMode="External"/><Relationship Id="rId89" Type="http://schemas.openxmlformats.org/officeDocument/2006/relationships/hyperlink" Target="https://www.slickcharts.com/symbol/CE" TargetMode="External"/><Relationship Id="rId112" Type="http://schemas.openxmlformats.org/officeDocument/2006/relationships/hyperlink" Target="https://www.slickcharts.com/symbol/COST" TargetMode="External"/><Relationship Id="rId154" Type="http://schemas.openxmlformats.org/officeDocument/2006/relationships/hyperlink" Target="https://www.slickcharts.com/symbol/EFX" TargetMode="External"/><Relationship Id="rId361" Type="http://schemas.openxmlformats.org/officeDocument/2006/relationships/hyperlink" Target="https://www.slickcharts.com/symbol/PCAR" TargetMode="External"/><Relationship Id="rId196" Type="http://schemas.openxmlformats.org/officeDocument/2006/relationships/hyperlink" Target="https://www.slickcharts.com/symbol/FTNT" TargetMode="External"/><Relationship Id="rId417" Type="http://schemas.openxmlformats.org/officeDocument/2006/relationships/hyperlink" Target="https://www.slickcharts.com/symbol/SPG" TargetMode="External"/><Relationship Id="rId459" Type="http://schemas.openxmlformats.org/officeDocument/2006/relationships/hyperlink" Target="https://www.slickcharts.com/symbol/ULTA" TargetMode="External"/><Relationship Id="rId16" Type="http://schemas.openxmlformats.org/officeDocument/2006/relationships/hyperlink" Target="https://www.slickcharts.com/symbol/AES" TargetMode="External"/><Relationship Id="rId221" Type="http://schemas.openxmlformats.org/officeDocument/2006/relationships/hyperlink" Target="https://www.slickcharts.com/symbol/HIG" TargetMode="External"/><Relationship Id="rId263" Type="http://schemas.openxmlformats.org/officeDocument/2006/relationships/hyperlink" Target="https://www.slickcharts.com/symbol/KEY" TargetMode="External"/><Relationship Id="rId319" Type="http://schemas.openxmlformats.org/officeDocument/2006/relationships/hyperlink" Target="https://www.slickcharts.com/symbol/MRO" TargetMode="External"/><Relationship Id="rId470" Type="http://schemas.openxmlformats.org/officeDocument/2006/relationships/hyperlink" Target="https://www.slickcharts.com/symbol/VMC" TargetMode="External"/><Relationship Id="rId58" Type="http://schemas.openxmlformats.org/officeDocument/2006/relationships/hyperlink" Target="https://www.slickcharts.com/symbol/BDX" TargetMode="External"/><Relationship Id="rId123" Type="http://schemas.openxmlformats.org/officeDocument/2006/relationships/hyperlink" Target="https://www.slickcharts.com/symbol/CTRA" TargetMode="External"/><Relationship Id="rId330" Type="http://schemas.openxmlformats.org/officeDocument/2006/relationships/hyperlink" Target="https://www.slickcharts.com/symbol/NDSN" TargetMode="External"/><Relationship Id="rId165" Type="http://schemas.openxmlformats.org/officeDocument/2006/relationships/hyperlink" Target="https://www.slickcharts.com/symbol/EQR" TargetMode="External"/><Relationship Id="rId372" Type="http://schemas.openxmlformats.org/officeDocument/2006/relationships/hyperlink" Target="https://www.slickcharts.com/symbol/PKG" TargetMode="External"/><Relationship Id="rId428" Type="http://schemas.openxmlformats.org/officeDocument/2006/relationships/hyperlink" Target="https://www.slickcharts.com/symbol/SYK" TargetMode="External"/><Relationship Id="rId232" Type="http://schemas.openxmlformats.org/officeDocument/2006/relationships/hyperlink" Target="https://www.slickcharts.com/symbol/HUBB" TargetMode="External"/><Relationship Id="rId274" Type="http://schemas.openxmlformats.org/officeDocument/2006/relationships/hyperlink" Target="https://www.slickcharts.com/symbol/L" TargetMode="External"/><Relationship Id="rId481" Type="http://schemas.openxmlformats.org/officeDocument/2006/relationships/hyperlink" Target="https://www.slickcharts.com/symbol/WDC" TargetMode="External"/><Relationship Id="rId27" Type="http://schemas.openxmlformats.org/officeDocument/2006/relationships/hyperlink" Target="https://www.slickcharts.com/symbol/AMAT" TargetMode="External"/><Relationship Id="rId69" Type="http://schemas.openxmlformats.org/officeDocument/2006/relationships/hyperlink" Target="https://www.slickcharts.com/symbol/BR" TargetMode="External"/><Relationship Id="rId134" Type="http://schemas.openxmlformats.org/officeDocument/2006/relationships/hyperlink" Target="https://www.slickcharts.com/symbol/DG" TargetMode="External"/><Relationship Id="rId80" Type="http://schemas.openxmlformats.org/officeDocument/2006/relationships/hyperlink" Target="https://www.slickcharts.com/symbol/CAT" TargetMode="External"/><Relationship Id="rId176" Type="http://schemas.openxmlformats.org/officeDocument/2006/relationships/hyperlink" Target="https://www.slickcharts.com/symbol/EXPE" TargetMode="External"/><Relationship Id="rId341" Type="http://schemas.openxmlformats.org/officeDocument/2006/relationships/hyperlink" Target="https://www.slickcharts.com/symbol/NTRS" TargetMode="External"/><Relationship Id="rId383" Type="http://schemas.openxmlformats.org/officeDocument/2006/relationships/hyperlink" Target="https://www.slickcharts.com/symbol/PSA" TargetMode="External"/><Relationship Id="rId439" Type="http://schemas.openxmlformats.org/officeDocument/2006/relationships/hyperlink" Target="https://www.slickcharts.com/symbol/TGT" TargetMode="External"/><Relationship Id="rId201" Type="http://schemas.openxmlformats.org/officeDocument/2006/relationships/hyperlink" Target="https://www.slickcharts.com/symbol/GEN" TargetMode="External"/><Relationship Id="rId243" Type="http://schemas.openxmlformats.org/officeDocument/2006/relationships/hyperlink" Target="https://www.slickcharts.com/symbol/INTU" TargetMode="External"/><Relationship Id="rId285" Type="http://schemas.openxmlformats.org/officeDocument/2006/relationships/hyperlink" Target="https://www.slickcharts.com/symbol/LRCX" TargetMode="External"/><Relationship Id="rId450" Type="http://schemas.openxmlformats.org/officeDocument/2006/relationships/hyperlink" Target="https://www.slickcharts.com/symbol/TSN" TargetMode="External"/><Relationship Id="rId38" Type="http://schemas.openxmlformats.org/officeDocument/2006/relationships/hyperlink" Target="https://www.slickcharts.com/symbol/AOS" TargetMode="External"/><Relationship Id="rId103" Type="http://schemas.openxmlformats.org/officeDocument/2006/relationships/hyperlink" Target="https://www.slickcharts.com/symbol/CMG" TargetMode="External"/><Relationship Id="rId310" Type="http://schemas.openxmlformats.org/officeDocument/2006/relationships/hyperlink" Target="https://www.slickcharts.com/symbol/MMM" TargetMode="External"/><Relationship Id="rId492" Type="http://schemas.openxmlformats.org/officeDocument/2006/relationships/hyperlink" Target="https://www.slickcharts.com/symbol/WTW" TargetMode="External"/><Relationship Id="rId91" Type="http://schemas.openxmlformats.org/officeDocument/2006/relationships/hyperlink" Target="https://www.slickcharts.com/symbol/CF" TargetMode="External"/><Relationship Id="rId145" Type="http://schemas.openxmlformats.org/officeDocument/2006/relationships/hyperlink" Target="https://www.slickcharts.com/symbol/DTE" TargetMode="External"/><Relationship Id="rId187" Type="http://schemas.openxmlformats.org/officeDocument/2006/relationships/hyperlink" Target="https://www.slickcharts.com/symbol/FICO" TargetMode="External"/><Relationship Id="rId352" Type="http://schemas.openxmlformats.org/officeDocument/2006/relationships/hyperlink" Target="https://www.slickcharts.com/symbol/ON" TargetMode="External"/><Relationship Id="rId394" Type="http://schemas.openxmlformats.org/officeDocument/2006/relationships/hyperlink" Target="https://www.slickcharts.com/symbol/RF" TargetMode="External"/><Relationship Id="rId408" Type="http://schemas.openxmlformats.org/officeDocument/2006/relationships/hyperlink" Target="https://www.slickcharts.com/symbol/SCHW" TargetMode="External"/><Relationship Id="rId212" Type="http://schemas.openxmlformats.org/officeDocument/2006/relationships/hyperlink" Target="https://www.slickcharts.com/symbol/GRMN" TargetMode="External"/><Relationship Id="rId254" Type="http://schemas.openxmlformats.org/officeDocument/2006/relationships/hyperlink" Target="https://www.slickcharts.com/symbol/J" TargetMode="External"/><Relationship Id="rId49" Type="http://schemas.openxmlformats.org/officeDocument/2006/relationships/hyperlink" Target="https://www.slickcharts.com/symbol/AXON" TargetMode="External"/><Relationship Id="rId114" Type="http://schemas.openxmlformats.org/officeDocument/2006/relationships/hyperlink" Target="https://www.slickcharts.com/symbol/CPRT" TargetMode="External"/><Relationship Id="rId296" Type="http://schemas.openxmlformats.org/officeDocument/2006/relationships/hyperlink" Target="https://www.slickcharts.com/symbol/MCD" TargetMode="External"/><Relationship Id="rId461" Type="http://schemas.openxmlformats.org/officeDocument/2006/relationships/hyperlink" Target="https://www.slickcharts.com/symbol/UNP" TargetMode="External"/><Relationship Id="rId60" Type="http://schemas.openxmlformats.org/officeDocument/2006/relationships/hyperlink" Target="https://www.slickcharts.com/symbol/BF.B" TargetMode="External"/><Relationship Id="rId156" Type="http://schemas.openxmlformats.org/officeDocument/2006/relationships/hyperlink" Target="https://www.slickcharts.com/symbol/EIX" TargetMode="External"/><Relationship Id="rId198" Type="http://schemas.openxmlformats.org/officeDocument/2006/relationships/hyperlink" Target="https://www.slickcharts.com/symbol/GD" TargetMode="External"/><Relationship Id="rId321" Type="http://schemas.openxmlformats.org/officeDocument/2006/relationships/hyperlink" Target="https://www.slickcharts.com/symbol/MSCI" TargetMode="External"/><Relationship Id="rId363" Type="http://schemas.openxmlformats.org/officeDocument/2006/relationships/hyperlink" Target="https://www.slickcharts.com/symbol/PEAK" TargetMode="External"/><Relationship Id="rId419" Type="http://schemas.openxmlformats.org/officeDocument/2006/relationships/hyperlink" Target="https://www.slickcharts.com/symbol/SRE" TargetMode="External"/><Relationship Id="rId223" Type="http://schemas.openxmlformats.org/officeDocument/2006/relationships/hyperlink" Target="https://www.slickcharts.com/symbol/HLT" TargetMode="External"/><Relationship Id="rId430" Type="http://schemas.openxmlformats.org/officeDocument/2006/relationships/hyperlink" Target="https://www.slickcharts.com/symbol/T" TargetMode="External"/><Relationship Id="rId18" Type="http://schemas.openxmlformats.org/officeDocument/2006/relationships/hyperlink" Target="https://www.slickcharts.com/symbol/AIG" TargetMode="External"/><Relationship Id="rId265" Type="http://schemas.openxmlformats.org/officeDocument/2006/relationships/hyperlink" Target="https://www.slickcharts.com/symbol/KHC" TargetMode="External"/><Relationship Id="rId472" Type="http://schemas.openxmlformats.org/officeDocument/2006/relationships/hyperlink" Target="https://www.slickcharts.com/symbol/VRSN" TargetMode="External"/><Relationship Id="rId125" Type="http://schemas.openxmlformats.org/officeDocument/2006/relationships/hyperlink" Target="https://www.slickcharts.com/symbol/CTVA" TargetMode="External"/><Relationship Id="rId167" Type="http://schemas.openxmlformats.org/officeDocument/2006/relationships/hyperlink" Target="https://www.slickcharts.com/symbol/ES" TargetMode="External"/><Relationship Id="rId332" Type="http://schemas.openxmlformats.org/officeDocument/2006/relationships/hyperlink" Target="https://www.slickcharts.com/symbol/NEM" TargetMode="External"/><Relationship Id="rId374" Type="http://schemas.openxmlformats.org/officeDocument/2006/relationships/hyperlink" Target="https://www.slickcharts.com/symbol/PM" TargetMode="External"/><Relationship Id="rId71" Type="http://schemas.openxmlformats.org/officeDocument/2006/relationships/hyperlink" Target="https://www.slickcharts.com/symbol/BRO" TargetMode="External"/><Relationship Id="rId234" Type="http://schemas.openxmlformats.org/officeDocument/2006/relationships/hyperlink" Target="https://www.slickcharts.com/symbol/HWM" TargetMode="External"/><Relationship Id="rId2" Type="http://schemas.openxmlformats.org/officeDocument/2006/relationships/hyperlink" Target="https://www.slickcharts.com/symbol/AAL" TargetMode="External"/><Relationship Id="rId29" Type="http://schemas.openxmlformats.org/officeDocument/2006/relationships/hyperlink" Target="https://www.slickcharts.com/symbol/AMD" TargetMode="External"/><Relationship Id="rId276" Type="http://schemas.openxmlformats.org/officeDocument/2006/relationships/hyperlink" Target="https://www.slickcharts.com/symbol/LEN" TargetMode="External"/><Relationship Id="rId441" Type="http://schemas.openxmlformats.org/officeDocument/2006/relationships/hyperlink" Target="https://www.slickcharts.com/symbol/TMO" TargetMode="External"/><Relationship Id="rId483" Type="http://schemas.openxmlformats.org/officeDocument/2006/relationships/hyperlink" Target="https://www.slickcharts.com/symbol/WELL" TargetMode="External"/><Relationship Id="rId40" Type="http://schemas.openxmlformats.org/officeDocument/2006/relationships/hyperlink" Target="https://www.slickcharts.com/symbol/APD" TargetMode="External"/><Relationship Id="rId136" Type="http://schemas.openxmlformats.org/officeDocument/2006/relationships/hyperlink" Target="https://www.slickcharts.com/symbol/DHI" TargetMode="External"/><Relationship Id="rId178" Type="http://schemas.openxmlformats.org/officeDocument/2006/relationships/hyperlink" Target="https://www.slickcharts.com/symbol/F" TargetMode="External"/><Relationship Id="rId301" Type="http://schemas.openxmlformats.org/officeDocument/2006/relationships/hyperlink" Target="https://www.slickcharts.com/symbol/MDT" TargetMode="External"/><Relationship Id="rId343" Type="http://schemas.openxmlformats.org/officeDocument/2006/relationships/hyperlink" Target="https://www.slickcharts.com/symbol/NVDA" TargetMode="External"/><Relationship Id="rId82" Type="http://schemas.openxmlformats.org/officeDocument/2006/relationships/hyperlink" Target="https://www.slickcharts.com/symbol/CBOE" TargetMode="External"/><Relationship Id="rId203" Type="http://schemas.openxmlformats.org/officeDocument/2006/relationships/hyperlink" Target="https://www.slickcharts.com/symbol/GIS" TargetMode="External"/><Relationship Id="rId385" Type="http://schemas.openxmlformats.org/officeDocument/2006/relationships/hyperlink" Target="https://www.slickcharts.com/symbol/PTC" TargetMode="External"/><Relationship Id="rId245" Type="http://schemas.openxmlformats.org/officeDocument/2006/relationships/hyperlink" Target="https://www.slickcharts.com/symbol/IP" TargetMode="External"/><Relationship Id="rId287" Type="http://schemas.openxmlformats.org/officeDocument/2006/relationships/hyperlink" Target="https://www.slickcharts.com/symbol/LUV" TargetMode="External"/><Relationship Id="rId410" Type="http://schemas.openxmlformats.org/officeDocument/2006/relationships/hyperlink" Target="https://www.slickcharts.com/symbol/SEE" TargetMode="External"/><Relationship Id="rId452" Type="http://schemas.openxmlformats.org/officeDocument/2006/relationships/hyperlink" Target="https://www.slickcharts.com/symbol/TTWO" TargetMode="External"/><Relationship Id="rId494" Type="http://schemas.openxmlformats.org/officeDocument/2006/relationships/hyperlink" Target="https://www.slickcharts.com/symbol/WYNN" TargetMode="External"/><Relationship Id="rId105" Type="http://schemas.openxmlformats.org/officeDocument/2006/relationships/hyperlink" Target="https://www.slickcharts.com/symbol/CMS" TargetMode="External"/><Relationship Id="rId147" Type="http://schemas.openxmlformats.org/officeDocument/2006/relationships/hyperlink" Target="https://www.slickcharts.com/symbol/DVA" TargetMode="External"/><Relationship Id="rId312" Type="http://schemas.openxmlformats.org/officeDocument/2006/relationships/hyperlink" Target="https://www.slickcharts.com/symbol/MO" TargetMode="External"/><Relationship Id="rId354" Type="http://schemas.openxmlformats.org/officeDocument/2006/relationships/hyperlink" Target="https://www.slickcharts.com/symbol/ORLY" TargetMode="External"/><Relationship Id="rId51" Type="http://schemas.openxmlformats.org/officeDocument/2006/relationships/hyperlink" Target="https://www.slickcharts.com/symbol/AZO" TargetMode="External"/><Relationship Id="rId93" Type="http://schemas.openxmlformats.org/officeDocument/2006/relationships/hyperlink" Target="https://www.slickcharts.com/symbol/CHD" TargetMode="External"/><Relationship Id="rId189" Type="http://schemas.openxmlformats.org/officeDocument/2006/relationships/hyperlink" Target="https://www.slickcharts.com/symbol/FITB" TargetMode="External"/><Relationship Id="rId396" Type="http://schemas.openxmlformats.org/officeDocument/2006/relationships/hyperlink" Target="https://www.slickcharts.com/symbol/RJF" TargetMode="External"/><Relationship Id="rId214" Type="http://schemas.openxmlformats.org/officeDocument/2006/relationships/hyperlink" Target="https://www.slickcharts.com/symbol/GWW" TargetMode="External"/><Relationship Id="rId256" Type="http://schemas.openxmlformats.org/officeDocument/2006/relationships/hyperlink" Target="https://www.slickcharts.com/symbol/JCI" TargetMode="External"/><Relationship Id="rId298" Type="http://schemas.openxmlformats.org/officeDocument/2006/relationships/hyperlink" Target="https://www.slickcharts.com/symbol/MCK" TargetMode="External"/><Relationship Id="rId421" Type="http://schemas.openxmlformats.org/officeDocument/2006/relationships/hyperlink" Target="https://www.slickcharts.com/symbol/STLD" TargetMode="External"/><Relationship Id="rId463" Type="http://schemas.openxmlformats.org/officeDocument/2006/relationships/hyperlink" Target="https://www.slickcharts.com/symbol/URI" TargetMode="External"/><Relationship Id="rId116" Type="http://schemas.openxmlformats.org/officeDocument/2006/relationships/hyperlink" Target="https://www.slickcharts.com/symbol/CRL" TargetMode="External"/><Relationship Id="rId158" Type="http://schemas.openxmlformats.org/officeDocument/2006/relationships/hyperlink" Target="https://www.slickcharts.com/symbol/ELV" TargetMode="External"/><Relationship Id="rId323" Type="http://schemas.openxmlformats.org/officeDocument/2006/relationships/hyperlink" Target="https://www.slickcharts.com/symbol/MSI" TargetMode="External"/><Relationship Id="rId20" Type="http://schemas.openxmlformats.org/officeDocument/2006/relationships/hyperlink" Target="https://www.slickcharts.com/symbol/AJG" TargetMode="External"/><Relationship Id="rId62" Type="http://schemas.openxmlformats.org/officeDocument/2006/relationships/hyperlink" Target="https://www.slickcharts.com/symbol/BIIB" TargetMode="External"/><Relationship Id="rId365" Type="http://schemas.openxmlformats.org/officeDocument/2006/relationships/hyperlink" Target="https://www.slickcharts.com/symbol/PEP" TargetMode="External"/><Relationship Id="rId225" Type="http://schemas.openxmlformats.org/officeDocument/2006/relationships/hyperlink" Target="https://www.slickcharts.com/symbol/HON" TargetMode="External"/><Relationship Id="rId267" Type="http://schemas.openxmlformats.org/officeDocument/2006/relationships/hyperlink" Target="https://www.slickcharts.com/symbol/KLAC" TargetMode="External"/><Relationship Id="rId432" Type="http://schemas.openxmlformats.org/officeDocument/2006/relationships/hyperlink" Target="https://www.slickcharts.com/symbol/TDG" TargetMode="External"/><Relationship Id="rId474" Type="http://schemas.openxmlformats.org/officeDocument/2006/relationships/hyperlink" Target="https://www.slickcharts.com/symbol/VTR" TargetMode="External"/><Relationship Id="rId127" Type="http://schemas.openxmlformats.org/officeDocument/2006/relationships/hyperlink" Target="https://www.slickcharts.com/symbol/CVX" TargetMode="External"/><Relationship Id="rId10" Type="http://schemas.openxmlformats.org/officeDocument/2006/relationships/hyperlink" Target="https://www.slickcharts.com/symbol/ADI" TargetMode="External"/><Relationship Id="rId31" Type="http://schemas.openxmlformats.org/officeDocument/2006/relationships/hyperlink" Target="https://www.slickcharts.com/symbol/AMGN" TargetMode="External"/><Relationship Id="rId52" Type="http://schemas.openxmlformats.org/officeDocument/2006/relationships/hyperlink" Target="https://www.slickcharts.com/symbol/BA" TargetMode="External"/><Relationship Id="rId73" Type="http://schemas.openxmlformats.org/officeDocument/2006/relationships/hyperlink" Target="https://www.slickcharts.com/symbol/BWA" TargetMode="External"/><Relationship Id="rId94" Type="http://schemas.openxmlformats.org/officeDocument/2006/relationships/hyperlink" Target="https://www.slickcharts.com/symbol/CHRW" TargetMode="External"/><Relationship Id="rId148" Type="http://schemas.openxmlformats.org/officeDocument/2006/relationships/hyperlink" Target="https://www.slickcharts.com/symbol/DVN" TargetMode="External"/><Relationship Id="rId169" Type="http://schemas.openxmlformats.org/officeDocument/2006/relationships/hyperlink" Target="https://www.slickcharts.com/symbol/ETN" TargetMode="External"/><Relationship Id="rId334" Type="http://schemas.openxmlformats.org/officeDocument/2006/relationships/hyperlink" Target="https://www.slickcharts.com/symbol/NI" TargetMode="External"/><Relationship Id="rId355" Type="http://schemas.openxmlformats.org/officeDocument/2006/relationships/hyperlink" Target="https://www.slickcharts.com/symbol/OTIS" TargetMode="External"/><Relationship Id="rId376" Type="http://schemas.openxmlformats.org/officeDocument/2006/relationships/hyperlink" Target="https://www.slickcharts.com/symbol/PNR" TargetMode="External"/><Relationship Id="rId397" Type="http://schemas.openxmlformats.org/officeDocument/2006/relationships/hyperlink" Target="https://www.slickcharts.com/symbol/RL" TargetMode="External"/><Relationship Id="rId4" Type="http://schemas.openxmlformats.org/officeDocument/2006/relationships/hyperlink" Target="https://www.slickcharts.com/symbol/ABBV" TargetMode="External"/><Relationship Id="rId180" Type="http://schemas.openxmlformats.org/officeDocument/2006/relationships/hyperlink" Target="https://www.slickcharts.com/symbol/FAST" TargetMode="External"/><Relationship Id="rId215" Type="http://schemas.openxmlformats.org/officeDocument/2006/relationships/hyperlink" Target="https://www.slickcharts.com/symbol/HAL" TargetMode="External"/><Relationship Id="rId236" Type="http://schemas.openxmlformats.org/officeDocument/2006/relationships/hyperlink" Target="https://www.slickcharts.com/symbol/ICE" TargetMode="External"/><Relationship Id="rId257" Type="http://schemas.openxmlformats.org/officeDocument/2006/relationships/hyperlink" Target="https://www.slickcharts.com/symbol/JKHY" TargetMode="External"/><Relationship Id="rId278" Type="http://schemas.openxmlformats.org/officeDocument/2006/relationships/hyperlink" Target="https://www.slickcharts.com/symbol/LHX" TargetMode="External"/><Relationship Id="rId401" Type="http://schemas.openxmlformats.org/officeDocument/2006/relationships/hyperlink" Target="https://www.slickcharts.com/symbol/ROP" TargetMode="External"/><Relationship Id="rId422" Type="http://schemas.openxmlformats.org/officeDocument/2006/relationships/hyperlink" Target="https://www.slickcharts.com/symbol/STT" TargetMode="External"/><Relationship Id="rId443" Type="http://schemas.openxmlformats.org/officeDocument/2006/relationships/hyperlink" Target="https://www.slickcharts.com/symbol/TPR" TargetMode="External"/><Relationship Id="rId464" Type="http://schemas.openxmlformats.org/officeDocument/2006/relationships/hyperlink" Target="https://www.slickcharts.com/symbol/USB" TargetMode="External"/><Relationship Id="rId303" Type="http://schemas.openxmlformats.org/officeDocument/2006/relationships/hyperlink" Target="https://www.slickcharts.com/symbol/META" TargetMode="External"/><Relationship Id="rId485" Type="http://schemas.openxmlformats.org/officeDocument/2006/relationships/hyperlink" Target="https://www.slickcharts.com/symbol/WHR" TargetMode="External"/><Relationship Id="rId42" Type="http://schemas.openxmlformats.org/officeDocument/2006/relationships/hyperlink" Target="https://www.slickcharts.com/symbol/APTV" TargetMode="External"/><Relationship Id="rId84" Type="http://schemas.openxmlformats.org/officeDocument/2006/relationships/hyperlink" Target="https://www.slickcharts.com/symbol/CCI" TargetMode="External"/><Relationship Id="rId138" Type="http://schemas.openxmlformats.org/officeDocument/2006/relationships/hyperlink" Target="https://www.slickcharts.com/symbol/DIS" TargetMode="External"/><Relationship Id="rId345" Type="http://schemas.openxmlformats.org/officeDocument/2006/relationships/hyperlink" Target="https://www.slickcharts.com/symbol/NWS" TargetMode="External"/><Relationship Id="rId387" Type="http://schemas.openxmlformats.org/officeDocument/2006/relationships/hyperlink" Target="https://www.slickcharts.com/symbol/PXD" TargetMode="External"/><Relationship Id="rId191" Type="http://schemas.openxmlformats.org/officeDocument/2006/relationships/hyperlink" Target="https://www.slickcharts.com/symbol/FMC" TargetMode="External"/><Relationship Id="rId205" Type="http://schemas.openxmlformats.org/officeDocument/2006/relationships/hyperlink" Target="https://www.slickcharts.com/symbol/GLW" TargetMode="External"/><Relationship Id="rId247" Type="http://schemas.openxmlformats.org/officeDocument/2006/relationships/hyperlink" Target="https://www.slickcharts.com/symbol/IQV" TargetMode="External"/><Relationship Id="rId412" Type="http://schemas.openxmlformats.org/officeDocument/2006/relationships/hyperlink" Target="https://www.slickcharts.com/symbol/SJM" TargetMode="External"/><Relationship Id="rId107" Type="http://schemas.openxmlformats.org/officeDocument/2006/relationships/hyperlink" Target="https://www.slickcharts.com/symbol/CNP" TargetMode="External"/><Relationship Id="rId289" Type="http://schemas.openxmlformats.org/officeDocument/2006/relationships/hyperlink" Target="https://www.slickcharts.com/symbol/LW" TargetMode="External"/><Relationship Id="rId454" Type="http://schemas.openxmlformats.org/officeDocument/2006/relationships/hyperlink" Target="https://www.slickcharts.com/symbol/TXT" TargetMode="External"/><Relationship Id="rId496" Type="http://schemas.openxmlformats.org/officeDocument/2006/relationships/hyperlink" Target="https://www.slickcharts.com/symbol/XOM" TargetMode="External"/><Relationship Id="rId11" Type="http://schemas.openxmlformats.org/officeDocument/2006/relationships/hyperlink" Target="https://www.slickcharts.com/symbol/ADM" TargetMode="External"/><Relationship Id="rId53" Type="http://schemas.openxmlformats.org/officeDocument/2006/relationships/hyperlink" Target="https://www.slickcharts.com/symbol/BAC" TargetMode="External"/><Relationship Id="rId149" Type="http://schemas.openxmlformats.org/officeDocument/2006/relationships/hyperlink" Target="https://www.slickcharts.com/symbol/DXCM" TargetMode="External"/><Relationship Id="rId314" Type="http://schemas.openxmlformats.org/officeDocument/2006/relationships/hyperlink" Target="https://www.slickcharts.com/symbol/MOS" TargetMode="External"/><Relationship Id="rId356" Type="http://schemas.openxmlformats.org/officeDocument/2006/relationships/hyperlink" Target="https://www.slickcharts.com/symbol/OXY" TargetMode="External"/><Relationship Id="rId398" Type="http://schemas.openxmlformats.org/officeDocument/2006/relationships/hyperlink" Target="https://www.slickcharts.com/symbol/RMD" TargetMode="External"/><Relationship Id="rId95" Type="http://schemas.openxmlformats.org/officeDocument/2006/relationships/hyperlink" Target="https://www.slickcharts.com/symbol/CHTR" TargetMode="External"/><Relationship Id="rId160" Type="http://schemas.openxmlformats.org/officeDocument/2006/relationships/hyperlink" Target="https://www.slickcharts.com/symbol/EMR" TargetMode="External"/><Relationship Id="rId216" Type="http://schemas.openxmlformats.org/officeDocument/2006/relationships/hyperlink" Target="https://www.slickcharts.com/symbol/HAS" TargetMode="External"/><Relationship Id="rId423" Type="http://schemas.openxmlformats.org/officeDocument/2006/relationships/hyperlink" Target="https://www.slickcharts.com/symbol/STX" TargetMode="External"/><Relationship Id="rId258" Type="http://schemas.openxmlformats.org/officeDocument/2006/relationships/hyperlink" Target="https://www.slickcharts.com/symbol/JNJ" TargetMode="External"/><Relationship Id="rId465" Type="http://schemas.openxmlformats.org/officeDocument/2006/relationships/hyperlink" Target="https://www.slickcharts.com/symbol/V" TargetMode="External"/><Relationship Id="rId22" Type="http://schemas.openxmlformats.org/officeDocument/2006/relationships/hyperlink" Target="https://www.slickcharts.com/symbol/ALB" TargetMode="External"/><Relationship Id="rId64" Type="http://schemas.openxmlformats.org/officeDocument/2006/relationships/hyperlink" Target="https://www.slickcharts.com/symbol/BK" TargetMode="External"/><Relationship Id="rId118" Type="http://schemas.openxmlformats.org/officeDocument/2006/relationships/hyperlink" Target="https://www.slickcharts.com/symbol/CSCO" TargetMode="External"/><Relationship Id="rId325" Type="http://schemas.openxmlformats.org/officeDocument/2006/relationships/hyperlink" Target="https://www.slickcharts.com/symbol/MTCH" TargetMode="External"/><Relationship Id="rId367" Type="http://schemas.openxmlformats.org/officeDocument/2006/relationships/hyperlink" Target="https://www.slickcharts.com/symbol/PFG" TargetMode="External"/><Relationship Id="rId171" Type="http://schemas.openxmlformats.org/officeDocument/2006/relationships/hyperlink" Target="https://www.slickcharts.com/symbol/ETSY" TargetMode="External"/><Relationship Id="rId227" Type="http://schemas.openxmlformats.org/officeDocument/2006/relationships/hyperlink" Target="https://www.slickcharts.com/symbol/HPQ" TargetMode="External"/><Relationship Id="rId269" Type="http://schemas.openxmlformats.org/officeDocument/2006/relationships/hyperlink" Target="https://www.slickcharts.com/symbol/KMI" TargetMode="External"/><Relationship Id="rId434" Type="http://schemas.openxmlformats.org/officeDocument/2006/relationships/hyperlink" Target="https://www.slickcharts.com/symbol/TECH" TargetMode="External"/><Relationship Id="rId476" Type="http://schemas.openxmlformats.org/officeDocument/2006/relationships/hyperlink" Target="https://www.slickcharts.com/symbol/VZ" TargetMode="External"/><Relationship Id="rId33" Type="http://schemas.openxmlformats.org/officeDocument/2006/relationships/hyperlink" Target="https://www.slickcharts.com/symbol/AMT" TargetMode="External"/><Relationship Id="rId129" Type="http://schemas.openxmlformats.org/officeDocument/2006/relationships/hyperlink" Target="https://www.slickcharts.com/symbol/D" TargetMode="External"/><Relationship Id="rId280" Type="http://schemas.openxmlformats.org/officeDocument/2006/relationships/hyperlink" Target="https://www.slickcharts.com/symbol/LKQ" TargetMode="External"/><Relationship Id="rId336" Type="http://schemas.openxmlformats.org/officeDocument/2006/relationships/hyperlink" Target="https://www.slickcharts.com/symbol/NOC" TargetMode="External"/><Relationship Id="rId501" Type="http://schemas.openxmlformats.org/officeDocument/2006/relationships/hyperlink" Target="https://www.slickcharts.com/symbol/ZBRA" TargetMode="External"/><Relationship Id="rId75" Type="http://schemas.openxmlformats.org/officeDocument/2006/relationships/hyperlink" Target="https://www.slickcharts.com/symbol/BXP" TargetMode="External"/><Relationship Id="rId140" Type="http://schemas.openxmlformats.org/officeDocument/2006/relationships/hyperlink" Target="https://www.slickcharts.com/symbol/DLTR" TargetMode="External"/><Relationship Id="rId182" Type="http://schemas.openxmlformats.org/officeDocument/2006/relationships/hyperlink" Target="https://www.slickcharts.com/symbol/FDS" TargetMode="External"/><Relationship Id="rId378" Type="http://schemas.openxmlformats.org/officeDocument/2006/relationships/hyperlink" Target="https://www.slickcharts.com/symbol/PODD" TargetMode="External"/><Relationship Id="rId403" Type="http://schemas.openxmlformats.org/officeDocument/2006/relationships/hyperlink" Target="https://www.slickcharts.com/symbol/RSG" TargetMode="External"/><Relationship Id="rId6" Type="http://schemas.openxmlformats.org/officeDocument/2006/relationships/hyperlink" Target="https://www.slickcharts.com/symbol/ABT" TargetMode="External"/><Relationship Id="rId238" Type="http://schemas.openxmlformats.org/officeDocument/2006/relationships/hyperlink" Target="https://www.slickcharts.com/symbol/IEX" TargetMode="External"/><Relationship Id="rId445" Type="http://schemas.openxmlformats.org/officeDocument/2006/relationships/hyperlink" Target="https://www.slickcharts.com/symbol/TRMB" TargetMode="External"/><Relationship Id="rId487" Type="http://schemas.openxmlformats.org/officeDocument/2006/relationships/hyperlink" Target="https://www.slickcharts.com/symbol/WMB" TargetMode="External"/><Relationship Id="rId291" Type="http://schemas.openxmlformats.org/officeDocument/2006/relationships/hyperlink" Target="https://www.slickcharts.com/symbol/LYV" TargetMode="External"/><Relationship Id="rId305" Type="http://schemas.openxmlformats.org/officeDocument/2006/relationships/hyperlink" Target="https://www.slickcharts.com/symbol/MHK" TargetMode="External"/><Relationship Id="rId347" Type="http://schemas.openxmlformats.org/officeDocument/2006/relationships/hyperlink" Target="https://www.slickcharts.com/symbol/NXPI" TargetMode="External"/><Relationship Id="rId44" Type="http://schemas.openxmlformats.org/officeDocument/2006/relationships/hyperlink" Target="https://www.slickcharts.com/symbol/ATO" TargetMode="External"/><Relationship Id="rId86" Type="http://schemas.openxmlformats.org/officeDocument/2006/relationships/hyperlink" Target="https://www.slickcharts.com/symbol/CDAY" TargetMode="External"/><Relationship Id="rId151" Type="http://schemas.openxmlformats.org/officeDocument/2006/relationships/hyperlink" Target="https://www.slickcharts.com/symbol/EBAY" TargetMode="External"/><Relationship Id="rId389" Type="http://schemas.openxmlformats.org/officeDocument/2006/relationships/hyperlink" Target="https://www.slickcharts.com/symbol/QCOM" TargetMode="External"/><Relationship Id="rId193" Type="http://schemas.openxmlformats.org/officeDocument/2006/relationships/hyperlink" Target="https://www.slickcharts.com/symbol/FOXA" TargetMode="External"/><Relationship Id="rId207" Type="http://schemas.openxmlformats.org/officeDocument/2006/relationships/hyperlink" Target="https://www.slickcharts.com/symbol/GNRC" TargetMode="External"/><Relationship Id="rId249" Type="http://schemas.openxmlformats.org/officeDocument/2006/relationships/hyperlink" Target="https://www.slickcharts.com/symbol/IRM" TargetMode="External"/><Relationship Id="rId414" Type="http://schemas.openxmlformats.org/officeDocument/2006/relationships/hyperlink" Target="https://www.slickcharts.com/symbol/SNA" TargetMode="External"/><Relationship Id="rId456" Type="http://schemas.openxmlformats.org/officeDocument/2006/relationships/hyperlink" Target="https://www.slickcharts.com/symbol/UAL" TargetMode="External"/><Relationship Id="rId498" Type="http://schemas.openxmlformats.org/officeDocument/2006/relationships/hyperlink" Target="https://www.slickcharts.com/symbol/XYL" TargetMode="External"/><Relationship Id="rId13" Type="http://schemas.openxmlformats.org/officeDocument/2006/relationships/hyperlink" Target="https://www.slickcharts.com/symbol/ADSK" TargetMode="External"/><Relationship Id="rId109" Type="http://schemas.openxmlformats.org/officeDocument/2006/relationships/hyperlink" Target="https://www.slickcharts.com/symbol/COO" TargetMode="External"/><Relationship Id="rId260" Type="http://schemas.openxmlformats.org/officeDocument/2006/relationships/hyperlink" Target="https://www.slickcharts.com/symbol/JPM" TargetMode="External"/><Relationship Id="rId316" Type="http://schemas.openxmlformats.org/officeDocument/2006/relationships/hyperlink" Target="https://www.slickcharts.com/symbol/MPWR" TargetMode="External"/><Relationship Id="rId55" Type="http://schemas.openxmlformats.org/officeDocument/2006/relationships/hyperlink" Target="https://www.slickcharts.com/symbol/BAX" TargetMode="External"/><Relationship Id="rId97" Type="http://schemas.openxmlformats.org/officeDocument/2006/relationships/hyperlink" Target="https://www.slickcharts.com/symbol/CINF" TargetMode="External"/><Relationship Id="rId120" Type="http://schemas.openxmlformats.org/officeDocument/2006/relationships/hyperlink" Target="https://www.slickcharts.com/symbol/CSX" TargetMode="External"/><Relationship Id="rId358" Type="http://schemas.openxmlformats.org/officeDocument/2006/relationships/hyperlink" Target="https://www.slickcharts.com/symbol/PARA" TargetMode="External"/><Relationship Id="rId162" Type="http://schemas.openxmlformats.org/officeDocument/2006/relationships/hyperlink" Target="https://www.slickcharts.com/symbol/EOG" TargetMode="External"/><Relationship Id="rId218" Type="http://schemas.openxmlformats.org/officeDocument/2006/relationships/hyperlink" Target="https://www.slickcharts.com/symbol/HCA" TargetMode="External"/><Relationship Id="rId425" Type="http://schemas.openxmlformats.org/officeDocument/2006/relationships/hyperlink" Target="https://www.slickcharts.com/symbol/SWK" TargetMode="External"/><Relationship Id="rId467" Type="http://schemas.openxmlformats.org/officeDocument/2006/relationships/hyperlink" Target="https://www.slickcharts.com/symbol/VICI" TargetMode="External"/><Relationship Id="rId271" Type="http://schemas.openxmlformats.org/officeDocument/2006/relationships/hyperlink" Target="https://www.slickcharts.com/symbol/KO" TargetMode="External"/><Relationship Id="rId24" Type="http://schemas.openxmlformats.org/officeDocument/2006/relationships/hyperlink" Target="https://www.slickcharts.com/symbol/ALK" TargetMode="External"/><Relationship Id="rId66" Type="http://schemas.openxmlformats.org/officeDocument/2006/relationships/hyperlink" Target="https://www.slickcharts.com/symbol/BKR" TargetMode="External"/><Relationship Id="rId131" Type="http://schemas.openxmlformats.org/officeDocument/2006/relationships/hyperlink" Target="https://www.slickcharts.com/symbol/DD" TargetMode="External"/><Relationship Id="rId327" Type="http://schemas.openxmlformats.org/officeDocument/2006/relationships/hyperlink" Target="https://www.slickcharts.com/symbol/MU" TargetMode="External"/><Relationship Id="rId369" Type="http://schemas.openxmlformats.org/officeDocument/2006/relationships/hyperlink" Target="https://www.slickcharts.com/symbol/PGR" TargetMode="External"/><Relationship Id="rId173" Type="http://schemas.openxmlformats.org/officeDocument/2006/relationships/hyperlink" Target="https://www.slickcharts.com/symbol/EW" TargetMode="External"/><Relationship Id="rId229" Type="http://schemas.openxmlformats.org/officeDocument/2006/relationships/hyperlink" Target="https://www.slickcharts.com/symbol/HSIC" TargetMode="External"/><Relationship Id="rId380" Type="http://schemas.openxmlformats.org/officeDocument/2006/relationships/hyperlink" Target="https://www.slickcharts.com/symbol/PPG" TargetMode="External"/><Relationship Id="rId436" Type="http://schemas.openxmlformats.org/officeDocument/2006/relationships/hyperlink" Target="https://www.slickcharts.com/symbol/TER" TargetMode="External"/><Relationship Id="rId240" Type="http://schemas.openxmlformats.org/officeDocument/2006/relationships/hyperlink" Target="https://www.slickcharts.com/symbol/ILMN" TargetMode="External"/><Relationship Id="rId478" Type="http://schemas.openxmlformats.org/officeDocument/2006/relationships/hyperlink" Target="https://www.slickcharts.com/symbol/WAT" TargetMode="External"/><Relationship Id="rId35" Type="http://schemas.openxmlformats.org/officeDocument/2006/relationships/hyperlink" Target="https://www.slickcharts.com/symbol/ANET" TargetMode="External"/><Relationship Id="rId77" Type="http://schemas.openxmlformats.org/officeDocument/2006/relationships/hyperlink" Target="https://www.slickcharts.com/symbol/CAG" TargetMode="External"/><Relationship Id="rId100" Type="http://schemas.openxmlformats.org/officeDocument/2006/relationships/hyperlink" Target="https://www.slickcharts.com/symbol/CMA" TargetMode="External"/><Relationship Id="rId282" Type="http://schemas.openxmlformats.org/officeDocument/2006/relationships/hyperlink" Target="https://www.slickcharts.com/symbol/LMT" TargetMode="External"/><Relationship Id="rId338" Type="http://schemas.openxmlformats.org/officeDocument/2006/relationships/hyperlink" Target="https://www.slickcharts.com/symbol/NRG" TargetMode="External"/><Relationship Id="rId503" Type="http://schemas.openxmlformats.org/officeDocument/2006/relationships/hyperlink" Target="https://www.slickcharts.com/symbol/ZTS" TargetMode="External"/><Relationship Id="rId8" Type="http://schemas.openxmlformats.org/officeDocument/2006/relationships/hyperlink" Target="https://www.slickcharts.com/symbol/ACN" TargetMode="External"/><Relationship Id="rId142" Type="http://schemas.openxmlformats.org/officeDocument/2006/relationships/hyperlink" Target="https://www.slickcharts.com/symbol/DOW" TargetMode="External"/><Relationship Id="rId184" Type="http://schemas.openxmlformats.org/officeDocument/2006/relationships/hyperlink" Target="https://www.slickcharts.com/symbol/FE" TargetMode="External"/><Relationship Id="rId391" Type="http://schemas.openxmlformats.org/officeDocument/2006/relationships/hyperlink" Target="https://www.slickcharts.com/symbol/RCL" TargetMode="External"/><Relationship Id="rId405" Type="http://schemas.openxmlformats.org/officeDocument/2006/relationships/hyperlink" Target="https://www.slickcharts.com/symbol/RVTY" TargetMode="External"/><Relationship Id="rId447" Type="http://schemas.openxmlformats.org/officeDocument/2006/relationships/hyperlink" Target="https://www.slickcharts.com/symbol/TRV" TargetMode="External"/><Relationship Id="rId251" Type="http://schemas.openxmlformats.org/officeDocument/2006/relationships/hyperlink" Target="https://www.slickcharts.com/symbol/IT" TargetMode="External"/><Relationship Id="rId489" Type="http://schemas.openxmlformats.org/officeDocument/2006/relationships/hyperlink" Target="https://www.slickcharts.com/symbol/WRB" TargetMode="External"/><Relationship Id="rId46" Type="http://schemas.openxmlformats.org/officeDocument/2006/relationships/hyperlink" Target="https://www.slickcharts.com/symbol/AVGO" TargetMode="External"/><Relationship Id="rId293" Type="http://schemas.openxmlformats.org/officeDocument/2006/relationships/hyperlink" Target="https://www.slickcharts.com/symbol/MAA" TargetMode="External"/><Relationship Id="rId307" Type="http://schemas.openxmlformats.org/officeDocument/2006/relationships/hyperlink" Target="https://www.slickcharts.com/symbol/MKTX" TargetMode="External"/><Relationship Id="rId349" Type="http://schemas.openxmlformats.org/officeDocument/2006/relationships/hyperlink" Target="https://www.slickcharts.com/symbol/ODFL" TargetMode="External"/><Relationship Id="rId88" Type="http://schemas.openxmlformats.org/officeDocument/2006/relationships/hyperlink" Target="https://www.slickcharts.com/symbol/CDW" TargetMode="External"/><Relationship Id="rId111" Type="http://schemas.openxmlformats.org/officeDocument/2006/relationships/hyperlink" Target="https://www.slickcharts.com/symbol/COR" TargetMode="External"/><Relationship Id="rId153" Type="http://schemas.openxmlformats.org/officeDocument/2006/relationships/hyperlink" Target="https://www.slickcharts.com/symbol/ED" TargetMode="External"/><Relationship Id="rId195" Type="http://schemas.openxmlformats.org/officeDocument/2006/relationships/hyperlink" Target="https://www.slickcharts.com/symbol/FSLR" TargetMode="External"/><Relationship Id="rId209" Type="http://schemas.openxmlformats.org/officeDocument/2006/relationships/hyperlink" Target="https://www.slickcharts.com/symbol/GOOGL" TargetMode="External"/><Relationship Id="rId360" Type="http://schemas.openxmlformats.org/officeDocument/2006/relationships/hyperlink" Target="https://www.slickcharts.com/symbol/PAYX" TargetMode="External"/><Relationship Id="rId416" Type="http://schemas.openxmlformats.org/officeDocument/2006/relationships/hyperlink" Target="https://www.slickcharts.com/symbol/SO" TargetMode="External"/><Relationship Id="rId220" Type="http://schemas.openxmlformats.org/officeDocument/2006/relationships/hyperlink" Target="https://www.slickcharts.com/symbol/HES" TargetMode="External"/><Relationship Id="rId458" Type="http://schemas.openxmlformats.org/officeDocument/2006/relationships/hyperlink" Target="https://www.slickcharts.com/symbol/UHS" TargetMode="External"/><Relationship Id="rId15" Type="http://schemas.openxmlformats.org/officeDocument/2006/relationships/hyperlink" Target="https://www.slickcharts.com/symbol/AEP" TargetMode="External"/><Relationship Id="rId57" Type="http://schemas.openxmlformats.org/officeDocument/2006/relationships/hyperlink" Target="https://www.slickcharts.com/symbol/BBY" TargetMode="External"/><Relationship Id="rId262" Type="http://schemas.openxmlformats.org/officeDocument/2006/relationships/hyperlink" Target="https://www.slickcharts.com/symbol/KDP" TargetMode="External"/><Relationship Id="rId318" Type="http://schemas.openxmlformats.org/officeDocument/2006/relationships/hyperlink" Target="https://www.slickcharts.com/symbol/MRNA" TargetMode="External"/><Relationship Id="rId99" Type="http://schemas.openxmlformats.org/officeDocument/2006/relationships/hyperlink" Target="https://www.slickcharts.com/symbol/CLX" TargetMode="External"/><Relationship Id="rId122" Type="http://schemas.openxmlformats.org/officeDocument/2006/relationships/hyperlink" Target="https://www.slickcharts.com/symbol/CTLT" TargetMode="External"/><Relationship Id="rId164" Type="http://schemas.openxmlformats.org/officeDocument/2006/relationships/hyperlink" Target="https://www.slickcharts.com/symbol/EQIX" TargetMode="External"/><Relationship Id="rId371" Type="http://schemas.openxmlformats.org/officeDocument/2006/relationships/hyperlink" Target="https://www.slickcharts.com/symbol/PHM" TargetMode="External"/><Relationship Id="rId427" Type="http://schemas.openxmlformats.org/officeDocument/2006/relationships/hyperlink" Target="https://www.slickcharts.com/symbol/SYF" TargetMode="External"/><Relationship Id="rId469" Type="http://schemas.openxmlformats.org/officeDocument/2006/relationships/hyperlink" Target="https://www.slickcharts.com/symbol/VLTO" TargetMode="External"/><Relationship Id="rId26" Type="http://schemas.openxmlformats.org/officeDocument/2006/relationships/hyperlink" Target="https://www.slickcharts.com/symbol/ALLE" TargetMode="External"/><Relationship Id="rId231" Type="http://schemas.openxmlformats.org/officeDocument/2006/relationships/hyperlink" Target="https://www.slickcharts.com/symbol/HSY" TargetMode="External"/><Relationship Id="rId273" Type="http://schemas.openxmlformats.org/officeDocument/2006/relationships/hyperlink" Target="https://www.slickcharts.com/symbol/KVUE" TargetMode="External"/><Relationship Id="rId329" Type="http://schemas.openxmlformats.org/officeDocument/2006/relationships/hyperlink" Target="https://www.slickcharts.com/symbol/NDAQ" TargetMode="External"/><Relationship Id="rId480" Type="http://schemas.openxmlformats.org/officeDocument/2006/relationships/hyperlink" Target="https://www.slickcharts.com/symbol/WBD" TargetMode="External"/><Relationship Id="rId68" Type="http://schemas.openxmlformats.org/officeDocument/2006/relationships/hyperlink" Target="https://www.slickcharts.com/symbol/BMY" TargetMode="External"/><Relationship Id="rId133" Type="http://schemas.openxmlformats.org/officeDocument/2006/relationships/hyperlink" Target="https://www.slickcharts.com/symbol/DFS" TargetMode="External"/><Relationship Id="rId175" Type="http://schemas.openxmlformats.org/officeDocument/2006/relationships/hyperlink" Target="https://www.slickcharts.com/symbol/EXPD" TargetMode="External"/><Relationship Id="rId340" Type="http://schemas.openxmlformats.org/officeDocument/2006/relationships/hyperlink" Target="https://www.slickcharts.com/symbol/NTAP" TargetMode="External"/><Relationship Id="rId200" Type="http://schemas.openxmlformats.org/officeDocument/2006/relationships/hyperlink" Target="https://www.slickcharts.com/symbol/GEHC" TargetMode="External"/><Relationship Id="rId382" Type="http://schemas.openxmlformats.org/officeDocument/2006/relationships/hyperlink" Target="https://www.slickcharts.com/symbol/PRU" TargetMode="External"/><Relationship Id="rId438" Type="http://schemas.openxmlformats.org/officeDocument/2006/relationships/hyperlink" Target="https://www.slickcharts.com/symbol/TFX" TargetMode="External"/><Relationship Id="rId242" Type="http://schemas.openxmlformats.org/officeDocument/2006/relationships/hyperlink" Target="https://www.slickcharts.com/symbol/INTC" TargetMode="External"/><Relationship Id="rId284" Type="http://schemas.openxmlformats.org/officeDocument/2006/relationships/hyperlink" Target="https://www.slickcharts.com/symbol/LOW" TargetMode="External"/><Relationship Id="rId491" Type="http://schemas.openxmlformats.org/officeDocument/2006/relationships/hyperlink" Target="https://www.slickcharts.com/symbol/WST" TargetMode="External"/><Relationship Id="rId37" Type="http://schemas.openxmlformats.org/officeDocument/2006/relationships/hyperlink" Target="https://www.slickcharts.com/symbol/AON" TargetMode="External"/><Relationship Id="rId79" Type="http://schemas.openxmlformats.org/officeDocument/2006/relationships/hyperlink" Target="https://www.slickcharts.com/symbol/CARR" TargetMode="External"/><Relationship Id="rId102" Type="http://schemas.openxmlformats.org/officeDocument/2006/relationships/hyperlink" Target="https://www.slickcharts.com/symbol/CME" TargetMode="External"/><Relationship Id="rId144" Type="http://schemas.openxmlformats.org/officeDocument/2006/relationships/hyperlink" Target="https://www.slickcharts.com/symbol/DRI" TargetMode="External"/><Relationship Id="rId90" Type="http://schemas.openxmlformats.org/officeDocument/2006/relationships/hyperlink" Target="https://www.slickcharts.com/symbol/CEG" TargetMode="External"/><Relationship Id="rId186" Type="http://schemas.openxmlformats.org/officeDocument/2006/relationships/hyperlink" Target="https://www.slickcharts.com/symbol/FI" TargetMode="External"/><Relationship Id="rId351" Type="http://schemas.openxmlformats.org/officeDocument/2006/relationships/hyperlink" Target="https://www.slickcharts.com/symbol/OMC" TargetMode="External"/><Relationship Id="rId393" Type="http://schemas.openxmlformats.org/officeDocument/2006/relationships/hyperlink" Target="https://www.slickcharts.com/symbol/REGN" TargetMode="External"/><Relationship Id="rId407" Type="http://schemas.openxmlformats.org/officeDocument/2006/relationships/hyperlink" Target="https://www.slickcharts.com/symbol/SBUX" TargetMode="External"/><Relationship Id="rId449" Type="http://schemas.openxmlformats.org/officeDocument/2006/relationships/hyperlink" Target="https://www.slickcharts.com/symbol/TSLA" TargetMode="External"/><Relationship Id="rId211" Type="http://schemas.openxmlformats.org/officeDocument/2006/relationships/hyperlink" Target="https://www.slickcharts.com/symbol/GPN" TargetMode="External"/><Relationship Id="rId253" Type="http://schemas.openxmlformats.org/officeDocument/2006/relationships/hyperlink" Target="https://www.slickcharts.com/symbol/IVZ" TargetMode="External"/><Relationship Id="rId295" Type="http://schemas.openxmlformats.org/officeDocument/2006/relationships/hyperlink" Target="https://www.slickcharts.com/symbol/MAS" TargetMode="External"/><Relationship Id="rId309" Type="http://schemas.openxmlformats.org/officeDocument/2006/relationships/hyperlink" Target="https://www.slickcharts.com/symbol/MMC" TargetMode="External"/><Relationship Id="rId460" Type="http://schemas.openxmlformats.org/officeDocument/2006/relationships/hyperlink" Target="https://www.slickcharts.com/symbol/UNH" TargetMode="External"/><Relationship Id="rId48" Type="http://schemas.openxmlformats.org/officeDocument/2006/relationships/hyperlink" Target="https://www.slickcharts.com/symbol/AWK" TargetMode="External"/><Relationship Id="rId113" Type="http://schemas.openxmlformats.org/officeDocument/2006/relationships/hyperlink" Target="https://www.slickcharts.com/symbol/CPB" TargetMode="External"/><Relationship Id="rId320" Type="http://schemas.openxmlformats.org/officeDocument/2006/relationships/hyperlink" Target="https://www.slickcharts.com/symbol/MS" TargetMode="External"/><Relationship Id="rId155" Type="http://schemas.openxmlformats.org/officeDocument/2006/relationships/hyperlink" Target="https://www.slickcharts.com/symbol/EG" TargetMode="External"/><Relationship Id="rId197" Type="http://schemas.openxmlformats.org/officeDocument/2006/relationships/hyperlink" Target="https://www.slickcharts.com/symbol/FTV" TargetMode="External"/><Relationship Id="rId362" Type="http://schemas.openxmlformats.org/officeDocument/2006/relationships/hyperlink" Target="https://www.slickcharts.com/symbol/PCG" TargetMode="External"/><Relationship Id="rId418" Type="http://schemas.openxmlformats.org/officeDocument/2006/relationships/hyperlink" Target="https://www.slickcharts.com/symbol/SPGI" TargetMode="External"/><Relationship Id="rId222" Type="http://schemas.openxmlformats.org/officeDocument/2006/relationships/hyperlink" Target="https://www.slickcharts.com/symbol/HII" TargetMode="External"/><Relationship Id="rId264" Type="http://schemas.openxmlformats.org/officeDocument/2006/relationships/hyperlink" Target="https://www.slickcharts.com/symbol/KEYS" TargetMode="External"/><Relationship Id="rId471" Type="http://schemas.openxmlformats.org/officeDocument/2006/relationships/hyperlink" Target="https://www.slickcharts.com/symbol/VRSK" TargetMode="External"/><Relationship Id="rId17" Type="http://schemas.openxmlformats.org/officeDocument/2006/relationships/hyperlink" Target="https://www.slickcharts.com/symbol/AFL" TargetMode="External"/><Relationship Id="rId59" Type="http://schemas.openxmlformats.org/officeDocument/2006/relationships/hyperlink" Target="https://www.slickcharts.com/symbol/BEN" TargetMode="External"/><Relationship Id="rId124" Type="http://schemas.openxmlformats.org/officeDocument/2006/relationships/hyperlink" Target="https://www.slickcharts.com/symbol/CTSH" TargetMode="External"/><Relationship Id="rId70" Type="http://schemas.openxmlformats.org/officeDocument/2006/relationships/hyperlink" Target="https://www.slickcharts.com/symbol/BRK.B" TargetMode="External"/><Relationship Id="rId166" Type="http://schemas.openxmlformats.org/officeDocument/2006/relationships/hyperlink" Target="https://www.slickcharts.com/symbol/EQT" TargetMode="External"/><Relationship Id="rId331" Type="http://schemas.openxmlformats.org/officeDocument/2006/relationships/hyperlink" Target="https://www.slickcharts.com/symbol/NEE" TargetMode="External"/><Relationship Id="rId373" Type="http://schemas.openxmlformats.org/officeDocument/2006/relationships/hyperlink" Target="https://www.slickcharts.com/symbol/PLD" TargetMode="External"/><Relationship Id="rId429" Type="http://schemas.openxmlformats.org/officeDocument/2006/relationships/hyperlink" Target="https://www.slickcharts.com/symbol/SYY" TargetMode="External"/><Relationship Id="rId1" Type="http://schemas.openxmlformats.org/officeDocument/2006/relationships/hyperlink" Target="https://www.slickcharts.com/symbol/A" TargetMode="External"/><Relationship Id="rId233" Type="http://schemas.openxmlformats.org/officeDocument/2006/relationships/hyperlink" Target="https://www.slickcharts.com/symbol/HUM" TargetMode="External"/><Relationship Id="rId440" Type="http://schemas.openxmlformats.org/officeDocument/2006/relationships/hyperlink" Target="https://www.slickcharts.com/symbol/TJX" TargetMode="External"/><Relationship Id="rId28" Type="http://schemas.openxmlformats.org/officeDocument/2006/relationships/hyperlink" Target="https://www.slickcharts.com/symbol/AMCR" TargetMode="External"/><Relationship Id="rId275" Type="http://schemas.openxmlformats.org/officeDocument/2006/relationships/hyperlink" Target="https://www.slickcharts.com/symbol/LDOS" TargetMode="External"/><Relationship Id="rId300" Type="http://schemas.openxmlformats.org/officeDocument/2006/relationships/hyperlink" Target="https://www.slickcharts.com/symbol/MDLZ" TargetMode="External"/><Relationship Id="rId482" Type="http://schemas.openxmlformats.org/officeDocument/2006/relationships/hyperlink" Target="https://www.slickcharts.com/symbol/WEC" TargetMode="External"/><Relationship Id="rId81" Type="http://schemas.openxmlformats.org/officeDocument/2006/relationships/hyperlink" Target="https://www.slickcharts.com/symbol/CB" TargetMode="External"/><Relationship Id="rId135" Type="http://schemas.openxmlformats.org/officeDocument/2006/relationships/hyperlink" Target="https://www.slickcharts.com/symbol/DGX" TargetMode="External"/><Relationship Id="rId177" Type="http://schemas.openxmlformats.org/officeDocument/2006/relationships/hyperlink" Target="https://www.slickcharts.com/symbol/EXR" TargetMode="External"/><Relationship Id="rId342" Type="http://schemas.openxmlformats.org/officeDocument/2006/relationships/hyperlink" Target="https://www.slickcharts.com/symbol/NUE" TargetMode="External"/><Relationship Id="rId384" Type="http://schemas.openxmlformats.org/officeDocument/2006/relationships/hyperlink" Target="https://www.slickcharts.com/symbol/PSX" TargetMode="External"/><Relationship Id="rId202" Type="http://schemas.openxmlformats.org/officeDocument/2006/relationships/hyperlink" Target="https://www.slickcharts.com/symbol/GILD" TargetMode="External"/><Relationship Id="rId244" Type="http://schemas.openxmlformats.org/officeDocument/2006/relationships/hyperlink" Target="https://www.slickcharts.com/symbol/INVH" TargetMode="External"/><Relationship Id="rId39" Type="http://schemas.openxmlformats.org/officeDocument/2006/relationships/hyperlink" Target="https://www.slickcharts.com/symbol/APA" TargetMode="External"/><Relationship Id="rId286" Type="http://schemas.openxmlformats.org/officeDocument/2006/relationships/hyperlink" Target="https://www.slickcharts.com/symbol/LULU" TargetMode="External"/><Relationship Id="rId451" Type="http://schemas.openxmlformats.org/officeDocument/2006/relationships/hyperlink" Target="https://www.slickcharts.com/symbol/TT" TargetMode="External"/><Relationship Id="rId493" Type="http://schemas.openxmlformats.org/officeDocument/2006/relationships/hyperlink" Target="https://www.slickcharts.com/symbol/WY" TargetMode="External"/><Relationship Id="rId50" Type="http://schemas.openxmlformats.org/officeDocument/2006/relationships/hyperlink" Target="https://www.slickcharts.com/symbol/AXP" TargetMode="External"/><Relationship Id="rId104" Type="http://schemas.openxmlformats.org/officeDocument/2006/relationships/hyperlink" Target="https://www.slickcharts.com/symbol/CMI" TargetMode="External"/><Relationship Id="rId146" Type="http://schemas.openxmlformats.org/officeDocument/2006/relationships/hyperlink" Target="https://www.slickcharts.com/symbol/DUK" TargetMode="External"/><Relationship Id="rId188" Type="http://schemas.openxmlformats.org/officeDocument/2006/relationships/hyperlink" Target="https://www.slickcharts.com/symbol/FIS" TargetMode="External"/><Relationship Id="rId311" Type="http://schemas.openxmlformats.org/officeDocument/2006/relationships/hyperlink" Target="https://www.slickcharts.com/symbol/MNST" TargetMode="External"/><Relationship Id="rId353" Type="http://schemas.openxmlformats.org/officeDocument/2006/relationships/hyperlink" Target="https://www.slickcharts.com/symbol/ORCL" TargetMode="External"/><Relationship Id="rId395" Type="http://schemas.openxmlformats.org/officeDocument/2006/relationships/hyperlink" Target="https://www.slickcharts.com/symbol/RHI" TargetMode="External"/><Relationship Id="rId409" Type="http://schemas.openxmlformats.org/officeDocument/2006/relationships/hyperlink" Target="https://www.slickcharts.com/symbol/SEDG" TargetMode="External"/><Relationship Id="rId92" Type="http://schemas.openxmlformats.org/officeDocument/2006/relationships/hyperlink" Target="https://www.slickcharts.com/symbol/CFG" TargetMode="External"/><Relationship Id="rId213" Type="http://schemas.openxmlformats.org/officeDocument/2006/relationships/hyperlink" Target="https://www.slickcharts.com/symbol/GS" TargetMode="External"/><Relationship Id="rId420" Type="http://schemas.openxmlformats.org/officeDocument/2006/relationships/hyperlink" Target="https://www.slickcharts.com/symbol/STE" TargetMode="External"/><Relationship Id="rId255" Type="http://schemas.openxmlformats.org/officeDocument/2006/relationships/hyperlink" Target="https://www.slickcharts.com/symbol/JBHT" TargetMode="External"/><Relationship Id="rId297" Type="http://schemas.openxmlformats.org/officeDocument/2006/relationships/hyperlink" Target="https://www.slickcharts.com/symbol/MCHP" TargetMode="External"/><Relationship Id="rId462" Type="http://schemas.openxmlformats.org/officeDocument/2006/relationships/hyperlink" Target="https://www.slickcharts.com/symbol/UPS" TargetMode="External"/><Relationship Id="rId115" Type="http://schemas.openxmlformats.org/officeDocument/2006/relationships/hyperlink" Target="https://www.slickcharts.com/symbol/CPT" TargetMode="External"/><Relationship Id="rId157" Type="http://schemas.openxmlformats.org/officeDocument/2006/relationships/hyperlink" Target="https://www.slickcharts.com/symbol/EL" TargetMode="External"/><Relationship Id="rId322" Type="http://schemas.openxmlformats.org/officeDocument/2006/relationships/hyperlink" Target="https://www.slickcharts.com/symbol/MSFT" TargetMode="External"/><Relationship Id="rId364" Type="http://schemas.openxmlformats.org/officeDocument/2006/relationships/hyperlink" Target="https://www.slickcharts.com/symbol/PEG" TargetMode="External"/><Relationship Id="rId61" Type="http://schemas.openxmlformats.org/officeDocument/2006/relationships/hyperlink" Target="https://www.slickcharts.com/symbol/BG" TargetMode="External"/><Relationship Id="rId199" Type="http://schemas.openxmlformats.org/officeDocument/2006/relationships/hyperlink" Target="https://www.slickcharts.com/symbol/GE" TargetMode="External"/><Relationship Id="rId19" Type="http://schemas.openxmlformats.org/officeDocument/2006/relationships/hyperlink" Target="https://www.slickcharts.com/symbol/AIZ" TargetMode="External"/><Relationship Id="rId224" Type="http://schemas.openxmlformats.org/officeDocument/2006/relationships/hyperlink" Target="https://www.slickcharts.com/symbol/HOLX" TargetMode="External"/><Relationship Id="rId266" Type="http://schemas.openxmlformats.org/officeDocument/2006/relationships/hyperlink" Target="https://www.slickcharts.com/symbol/KIM" TargetMode="External"/><Relationship Id="rId431" Type="http://schemas.openxmlformats.org/officeDocument/2006/relationships/hyperlink" Target="https://www.slickcharts.com/symbol/TAP" TargetMode="External"/><Relationship Id="rId473" Type="http://schemas.openxmlformats.org/officeDocument/2006/relationships/hyperlink" Target="https://www.slickcharts.com/symbol/VRTX" TargetMode="External"/><Relationship Id="rId30" Type="http://schemas.openxmlformats.org/officeDocument/2006/relationships/hyperlink" Target="https://www.slickcharts.com/symbol/AME" TargetMode="External"/><Relationship Id="rId126" Type="http://schemas.openxmlformats.org/officeDocument/2006/relationships/hyperlink" Target="https://www.slickcharts.com/symbol/CVS" TargetMode="External"/><Relationship Id="rId168" Type="http://schemas.openxmlformats.org/officeDocument/2006/relationships/hyperlink" Target="https://www.slickcharts.com/symbol/ESS" TargetMode="External"/><Relationship Id="rId333" Type="http://schemas.openxmlformats.org/officeDocument/2006/relationships/hyperlink" Target="https://www.slickcharts.com/symbol/NFLX" TargetMode="External"/><Relationship Id="rId72" Type="http://schemas.openxmlformats.org/officeDocument/2006/relationships/hyperlink" Target="https://www.slickcharts.com/symbol/BSX" TargetMode="External"/><Relationship Id="rId375" Type="http://schemas.openxmlformats.org/officeDocument/2006/relationships/hyperlink" Target="https://www.slickcharts.com/symbol/PNC" TargetMode="External"/><Relationship Id="rId3" Type="http://schemas.openxmlformats.org/officeDocument/2006/relationships/hyperlink" Target="https://www.slickcharts.com/symbol/AAPL" TargetMode="External"/><Relationship Id="rId235" Type="http://schemas.openxmlformats.org/officeDocument/2006/relationships/hyperlink" Target="https://www.slickcharts.com/symbol/IBM" TargetMode="External"/><Relationship Id="rId277" Type="http://schemas.openxmlformats.org/officeDocument/2006/relationships/hyperlink" Target="https://www.slickcharts.com/symbol/LH" TargetMode="External"/><Relationship Id="rId400" Type="http://schemas.openxmlformats.org/officeDocument/2006/relationships/hyperlink" Target="https://www.slickcharts.com/symbol/ROL" TargetMode="External"/><Relationship Id="rId442" Type="http://schemas.openxmlformats.org/officeDocument/2006/relationships/hyperlink" Target="https://www.slickcharts.com/symbol/TMUS" TargetMode="External"/><Relationship Id="rId484" Type="http://schemas.openxmlformats.org/officeDocument/2006/relationships/hyperlink" Target="https://www.slickcharts.com/symbol/WFC" TargetMode="External"/><Relationship Id="rId137" Type="http://schemas.openxmlformats.org/officeDocument/2006/relationships/hyperlink" Target="https://www.slickcharts.com/symbol/DHR" TargetMode="External"/><Relationship Id="rId302" Type="http://schemas.openxmlformats.org/officeDocument/2006/relationships/hyperlink" Target="https://www.slickcharts.com/symbol/MET" TargetMode="External"/><Relationship Id="rId344" Type="http://schemas.openxmlformats.org/officeDocument/2006/relationships/hyperlink" Target="https://www.slickcharts.com/symbol/NVR" TargetMode="External"/><Relationship Id="rId41" Type="http://schemas.openxmlformats.org/officeDocument/2006/relationships/hyperlink" Target="https://www.slickcharts.com/symbol/APH" TargetMode="External"/><Relationship Id="rId83" Type="http://schemas.openxmlformats.org/officeDocument/2006/relationships/hyperlink" Target="https://www.slickcharts.com/symbol/CBRE" TargetMode="External"/><Relationship Id="rId179" Type="http://schemas.openxmlformats.org/officeDocument/2006/relationships/hyperlink" Target="https://www.slickcharts.com/symbol/FANG" TargetMode="External"/><Relationship Id="rId386" Type="http://schemas.openxmlformats.org/officeDocument/2006/relationships/hyperlink" Target="https://www.slickcharts.com/symbol/PWR" TargetMode="External"/><Relationship Id="rId190" Type="http://schemas.openxmlformats.org/officeDocument/2006/relationships/hyperlink" Target="https://www.slickcharts.com/symbol/FLT" TargetMode="External"/><Relationship Id="rId204" Type="http://schemas.openxmlformats.org/officeDocument/2006/relationships/hyperlink" Target="https://www.slickcharts.com/symbol/GL" TargetMode="External"/><Relationship Id="rId246" Type="http://schemas.openxmlformats.org/officeDocument/2006/relationships/hyperlink" Target="https://www.slickcharts.com/symbol/IPG" TargetMode="External"/><Relationship Id="rId288" Type="http://schemas.openxmlformats.org/officeDocument/2006/relationships/hyperlink" Target="https://www.slickcharts.com/symbol/LVS" TargetMode="External"/><Relationship Id="rId411" Type="http://schemas.openxmlformats.org/officeDocument/2006/relationships/hyperlink" Target="https://www.slickcharts.com/symbol/SHW" TargetMode="External"/><Relationship Id="rId453" Type="http://schemas.openxmlformats.org/officeDocument/2006/relationships/hyperlink" Target="https://www.slickcharts.com/symbol/TXN" TargetMode="External"/><Relationship Id="rId106" Type="http://schemas.openxmlformats.org/officeDocument/2006/relationships/hyperlink" Target="https://www.slickcharts.com/symbol/CNC" TargetMode="External"/><Relationship Id="rId313" Type="http://schemas.openxmlformats.org/officeDocument/2006/relationships/hyperlink" Target="https://www.slickcharts.com/symbol/MOH" TargetMode="External"/><Relationship Id="rId495" Type="http://schemas.openxmlformats.org/officeDocument/2006/relationships/hyperlink" Target="https://www.slickcharts.com/symbol/X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504"/>
  <sheetViews>
    <sheetView tabSelected="1" topLeftCell="A495" workbookViewId="0">
      <selection activeCell="D511" sqref="D511"/>
    </sheetView>
  </sheetViews>
  <sheetFormatPr defaultColWidth="12.5703125" defaultRowHeight="15.75" customHeight="1"/>
  <cols>
    <col min="2" max="2" width="21.42578125" customWidth="1"/>
    <col min="3" max="3" width="9.42578125" style="11" customWidth="1"/>
    <col min="4" max="4" width="9.28515625" customWidth="1"/>
    <col min="5" max="5" width="9.140625" customWidth="1"/>
    <col min="6" max="6" width="8.140625" customWidth="1"/>
    <col min="7" max="7" width="18.7109375" style="14" bestFit="1" customWidth="1"/>
    <col min="8" max="8" width="24" style="11" bestFit="1" customWidth="1"/>
    <col min="9" max="10" width="14" style="14" bestFit="1" customWidth="1"/>
    <col min="11" max="12" width="12.5703125" style="11"/>
    <col min="13" max="13" width="17" bestFit="1" customWidth="1"/>
  </cols>
  <sheetData>
    <row r="1" spans="1:13" ht="15">
      <c r="A1" s="1" t="s">
        <v>0</v>
      </c>
      <c r="B1" s="2" t="s">
        <v>1</v>
      </c>
      <c r="C1" s="16" t="s">
        <v>2</v>
      </c>
      <c r="D1" s="3" t="s">
        <v>3</v>
      </c>
      <c r="E1" s="3" t="s">
        <v>4</v>
      </c>
      <c r="F1" s="3" t="s">
        <v>5</v>
      </c>
      <c r="G1" s="12" t="s">
        <v>6</v>
      </c>
      <c r="H1" s="9" t="s">
        <v>7</v>
      </c>
      <c r="I1" s="12" t="s">
        <v>8</v>
      </c>
      <c r="J1" s="12" t="s">
        <v>9</v>
      </c>
      <c r="K1" s="9" t="s">
        <v>10</v>
      </c>
      <c r="L1" s="9" t="s">
        <v>11</v>
      </c>
      <c r="M1" s="3" t="s">
        <v>12</v>
      </c>
    </row>
    <row r="2" spans="1:13">
      <c r="A2" s="4" t="s">
        <v>13</v>
      </c>
      <c r="B2" s="5" t="str">
        <f ca="1">IFERROR(__xludf.DUMMYFUNCTION("GoogleFinance(A2, ""name"")"),"Agilent Technologies Inc")</f>
        <v>Agilent Technologies Inc</v>
      </c>
      <c r="C2" s="15">
        <f ca="1">IFERROR(__xludf.DUMMYFUNCTION("GoogleFinance(A2, ""price"")"),145.51)</f>
        <v>145.51</v>
      </c>
      <c r="D2" s="6">
        <f ca="1">IFERROR(__xludf.DUMMYFUNCTION("GoogleFinance(A2, ""eps"")"),4.18)</f>
        <v>4.18</v>
      </c>
      <c r="E2" s="6">
        <f ca="1">IFERROR(__xludf.DUMMYFUNCTION("GOOGLEFINANCE(A2,""pe"")"),34.8)</f>
        <v>34.799999999999997</v>
      </c>
      <c r="F2" s="6">
        <f ca="1">IFERROR(__xludf.DUMMYFUNCTION("GoogleFinance(A2, ""beta"")"),1.11)</f>
        <v>1.1100000000000001</v>
      </c>
      <c r="G2" s="13">
        <f ca="1">IFERROR(__xludf.DUMMYFUNCTION("GOOGLEFINANCE(A2,""shares"")"),293055000)</f>
        <v>293055000</v>
      </c>
      <c r="H2" s="10">
        <f ca="1">IFERROR(__xludf.DUMMYFUNCTION("GOOGLEFINANCE(A2,""marketcap"")"),42642475093)</f>
        <v>42642475093</v>
      </c>
      <c r="I2" s="13">
        <f ca="1">IFERROR(__xludf.DUMMYFUNCTION("GOOGLEFINANCE(A2,""volume"")"),2176553)</f>
        <v>2176553</v>
      </c>
      <c r="J2" s="13">
        <f ca="1">IFERROR(__xludf.DUMMYFUNCTION("GOOGLEFINANCE(A2,""volumeavg"")"),1830369)</f>
        <v>1830369</v>
      </c>
      <c r="K2" s="15">
        <f ca="1">IFERROR(__xludf.DUMMYFUNCTION("GOOGLEFINANCE(A2,""high52"")"),151.58)</f>
        <v>151.58000000000001</v>
      </c>
      <c r="L2" s="15">
        <f ca="1">IFERROR(__xludf.DUMMYFUNCTION("GOOGLEFINANCE(A2,""low52"")"),96.8)</f>
        <v>96.8</v>
      </c>
      <c r="M2" s="7">
        <f t="shared" ref="M2:M504" ca="1" si="0">NOW()</f>
        <v>45379.717931597224</v>
      </c>
    </row>
    <row r="3" spans="1:13">
      <c r="A3" s="4" t="s">
        <v>14</v>
      </c>
      <c r="B3" s="5" t="str">
        <f ca="1">IFERROR(__xludf.DUMMYFUNCTION("GoogleFinance(A3, ""name"")"),"American Airlines Group Inc")</f>
        <v>American Airlines Group Inc</v>
      </c>
      <c r="C3" s="15">
        <f ca="1">IFERROR(__xludf.DUMMYFUNCTION("GoogleFinance(A3, ""price"")"),15.35)</f>
        <v>15.35</v>
      </c>
      <c r="D3" s="6">
        <f ca="1">IFERROR(__xludf.DUMMYFUNCTION("GoogleFinance(A3, ""eps"")"),1.21)</f>
        <v>1.21</v>
      </c>
      <c r="E3" s="6">
        <f ca="1">IFERROR(__xludf.DUMMYFUNCTION("GOOGLEFINANCE(A3,""pe"")"),12.73)</f>
        <v>12.73</v>
      </c>
      <c r="F3" s="6">
        <f ca="1">IFERROR(__xludf.DUMMYFUNCTION("GoogleFinance(A3, ""beta"")"),1.57)</f>
        <v>1.57</v>
      </c>
      <c r="G3" s="13">
        <f ca="1">IFERROR(__xludf.DUMMYFUNCTION("GOOGLEFINANCE(A3,""shares"")"),654757000)</f>
        <v>654757000</v>
      </c>
      <c r="H3" s="10">
        <f ca="1">IFERROR(__xludf.DUMMYFUNCTION("GOOGLEFINANCE(A3,""marketcap"")"),10050517129)</f>
        <v>10050517129</v>
      </c>
      <c r="I3" s="13">
        <f ca="1">IFERROR(__xludf.DUMMYFUNCTION("GOOGLEFINANCE(A3,""volume"")"),36394701)</f>
        <v>36394701</v>
      </c>
      <c r="J3" s="13">
        <f ca="1">IFERROR(__xludf.DUMMYFUNCTION("GOOGLEFINANCE(A3,""volumeavg"")"),27835602)</f>
        <v>27835602</v>
      </c>
      <c r="K3" s="15">
        <f ca="1">IFERROR(__xludf.DUMMYFUNCTION("GOOGLEFINANCE(A3,""high52"")"),19.08)</f>
        <v>19.079999999999998</v>
      </c>
      <c r="L3" s="15">
        <f ca="1">IFERROR(__xludf.DUMMYFUNCTION("GOOGLEFINANCE(A3,""low52"")"),10.86)</f>
        <v>10.86</v>
      </c>
      <c r="M3" s="7">
        <f t="shared" ca="1" si="0"/>
        <v>45379.717931597224</v>
      </c>
    </row>
    <row r="4" spans="1:13">
      <c r="A4" s="4" t="s">
        <v>15</v>
      </c>
      <c r="B4" s="5" t="str">
        <f ca="1">IFERROR(__xludf.DUMMYFUNCTION("GoogleFinance(A4, ""name"")"),"Apple Inc")</f>
        <v>Apple Inc</v>
      </c>
      <c r="C4" s="15">
        <f ca="1">IFERROR(__xludf.DUMMYFUNCTION("GoogleFinance(A4, ""price"")"),171.48)</f>
        <v>171.48</v>
      </c>
      <c r="D4" s="6">
        <f ca="1">IFERROR(__xludf.DUMMYFUNCTION("GoogleFinance(A4, ""eps"")"),6.43)</f>
        <v>6.43</v>
      </c>
      <c r="E4" s="6">
        <f ca="1">IFERROR(__xludf.DUMMYFUNCTION("GOOGLEFINANCE(A4,""pe"")"),26.68)</f>
        <v>26.68</v>
      </c>
      <c r="F4" s="6">
        <f ca="1">IFERROR(__xludf.DUMMYFUNCTION("GoogleFinance(A4, ""beta"")"),1.28)</f>
        <v>1.28</v>
      </c>
      <c r="G4" s="13">
        <f ca="1">IFERROR(__xludf.DUMMYFUNCTION("GOOGLEFINANCE(A4,""shares"")"),15441880000)</f>
        <v>15441880000</v>
      </c>
      <c r="H4" s="10">
        <f ca="1">IFERROR(__xludf.DUMMYFUNCTION("GOOGLEFINANCE(A4,""marketcap"")"),2647973516425)</f>
        <v>2647973516425</v>
      </c>
      <c r="I4" s="13">
        <f ca="1">IFERROR(__xludf.DUMMYFUNCTION("GOOGLEFINANCE(A4,""volume"")"),65651747)</f>
        <v>65651747</v>
      </c>
      <c r="J4" s="13">
        <f ca="1">IFERROR(__xludf.DUMMYFUNCTION("GOOGLEFINANCE(A4,""volumeavg"")"),67451585)</f>
        <v>67451585</v>
      </c>
      <c r="K4" s="15">
        <f ca="1">IFERROR(__xludf.DUMMYFUNCTION("GOOGLEFINANCE(A4,""high52"")"),199.62)</f>
        <v>199.62</v>
      </c>
      <c r="L4" s="15">
        <f ca="1">IFERROR(__xludf.DUMMYFUNCTION("GOOGLEFINANCE(A4,""low52"")"),159.35)</f>
        <v>159.35</v>
      </c>
      <c r="M4" s="7">
        <f t="shared" ca="1" si="0"/>
        <v>45379.717931597224</v>
      </c>
    </row>
    <row r="5" spans="1:13">
      <c r="A5" s="4" t="s">
        <v>16</v>
      </c>
      <c r="B5" s="5" t="str">
        <f ca="1">IFERROR(__xludf.DUMMYFUNCTION("GoogleFinance(A5, ""name"")"),"AbbVie Inc")</f>
        <v>AbbVie Inc</v>
      </c>
      <c r="C5" s="15">
        <f ca="1">IFERROR(__xludf.DUMMYFUNCTION("GoogleFinance(A5, ""price"")"),182.1)</f>
        <v>182.1</v>
      </c>
      <c r="D5" s="6">
        <f ca="1">IFERROR(__xludf.DUMMYFUNCTION("GoogleFinance(A5, ""eps"")"),2.72)</f>
        <v>2.72</v>
      </c>
      <c r="E5" s="6">
        <f ca="1">IFERROR(__xludf.DUMMYFUNCTION("GOOGLEFINANCE(A5,""pe"")"),66.98)</f>
        <v>66.98</v>
      </c>
      <c r="F5" s="6">
        <f ca="1">IFERROR(__xludf.DUMMYFUNCTION("GoogleFinance(A5, ""beta"")"),0.58)</f>
        <v>0.57999999999999996</v>
      </c>
      <c r="G5" s="13">
        <f ca="1">IFERROR(__xludf.DUMMYFUNCTION("GOOGLEFINANCE(A5,""shares"")"),1766473000)</f>
        <v>1766473000</v>
      </c>
      <c r="H5" s="10">
        <f ca="1">IFERROR(__xludf.DUMMYFUNCTION("GOOGLEFINANCE(A5,""marketcap"")"),322434829507)</f>
        <v>322434829507</v>
      </c>
      <c r="I5" s="13">
        <f ca="1">IFERROR(__xludf.DUMMYFUNCTION("GOOGLEFINANCE(A5,""volume"")"),5418566)</f>
        <v>5418566</v>
      </c>
      <c r="J5" s="13">
        <f ca="1">IFERROR(__xludf.DUMMYFUNCTION("GOOGLEFINANCE(A5,""volumeavg"")"),5781679)</f>
        <v>5781679</v>
      </c>
      <c r="K5" s="15">
        <f ca="1">IFERROR(__xludf.DUMMYFUNCTION("GOOGLEFINANCE(A5,""high52"")"),182.89)</f>
        <v>182.89</v>
      </c>
      <c r="L5" s="15">
        <f ca="1">IFERROR(__xludf.DUMMYFUNCTION("GOOGLEFINANCE(A5,""low52"")"),130.96)</f>
        <v>130.96</v>
      </c>
      <c r="M5" s="7">
        <f t="shared" ca="1" si="0"/>
        <v>45379.717931597224</v>
      </c>
    </row>
    <row r="6" spans="1:13">
      <c r="A6" s="8" t="s">
        <v>17</v>
      </c>
      <c r="B6" s="5" t="str">
        <f ca="1">IFERROR(__xludf.DUMMYFUNCTION("GoogleFinance(A6, ""name"")"),"Airbnb Inc")</f>
        <v>Airbnb Inc</v>
      </c>
      <c r="C6" s="15">
        <f ca="1">IFERROR(__xludf.DUMMYFUNCTION("GoogleFinance(A6, ""price"")"),164.96)</f>
        <v>164.96</v>
      </c>
      <c r="D6" s="6">
        <f ca="1">IFERROR(__xludf.DUMMYFUNCTION("GoogleFinance(A6, ""eps"")"),7.24)</f>
        <v>7.24</v>
      </c>
      <c r="E6" s="6">
        <f ca="1">IFERROR(__xludf.DUMMYFUNCTION("GOOGLEFINANCE(A6,""pe"")"),22.79)</f>
        <v>22.79</v>
      </c>
      <c r="F6" s="6">
        <f ca="1">IFERROR(__xludf.DUMMYFUNCTION("GoogleFinance(A6, ""beta"")"),1.25)</f>
        <v>1.25</v>
      </c>
      <c r="G6" s="13">
        <f ca="1">IFERROR(__xludf.DUMMYFUNCTION("GOOGLEFINANCE(A6,""shares"")"),438087000)</f>
        <v>438087000</v>
      </c>
      <c r="H6" s="10">
        <f ca="1">IFERROR(__xludf.DUMMYFUNCTION("GOOGLEFINANCE(A6,""marketcap"")"),106739747768)</f>
        <v>106739747768</v>
      </c>
      <c r="I6" s="13">
        <f ca="1">IFERROR(__xludf.DUMMYFUNCTION("GOOGLEFINANCE(A6,""volume"")"),3415908)</f>
        <v>3415908</v>
      </c>
      <c r="J6" s="13">
        <f ca="1">IFERROR(__xludf.DUMMYFUNCTION("GOOGLEFINANCE(A6,""volumeavg"")"),5070170)</f>
        <v>5070170</v>
      </c>
      <c r="K6" s="15">
        <f ca="1">IFERROR(__xludf.DUMMYFUNCTION("GOOGLEFINANCE(A6,""high52"")"),170.1)</f>
        <v>170.1</v>
      </c>
      <c r="L6" s="15">
        <f ca="1">IFERROR(__xludf.DUMMYFUNCTION("GOOGLEFINANCE(A6,""low52"")"),103.55)</f>
        <v>103.55</v>
      </c>
      <c r="M6" s="7">
        <f t="shared" ca="1" si="0"/>
        <v>45379.717931597224</v>
      </c>
    </row>
    <row r="7" spans="1:13">
      <c r="A7" s="4" t="s">
        <v>18</v>
      </c>
      <c r="B7" s="5" t="str">
        <f ca="1">IFERROR(__xludf.DUMMYFUNCTION("GoogleFinance(A7, ""name"")"),"Abbott Laboratories")</f>
        <v>Abbott Laboratories</v>
      </c>
      <c r="C7" s="15">
        <f ca="1">IFERROR(__xludf.DUMMYFUNCTION("GoogleFinance(A7, ""price"")"),113.66)</f>
        <v>113.66</v>
      </c>
      <c r="D7" s="6">
        <f ca="1">IFERROR(__xludf.DUMMYFUNCTION("GoogleFinance(A7, ""eps"")"),3.27)</f>
        <v>3.27</v>
      </c>
      <c r="E7" s="6">
        <f ca="1">IFERROR(__xludf.DUMMYFUNCTION("GOOGLEFINANCE(A7,""pe"")"),34.74)</f>
        <v>34.74</v>
      </c>
      <c r="F7" s="6">
        <f ca="1">IFERROR(__xludf.DUMMYFUNCTION("GoogleFinance(A7, ""beta"")"),0.75)</f>
        <v>0.75</v>
      </c>
      <c r="G7" s="13">
        <f ca="1">IFERROR(__xludf.DUMMYFUNCTION("GOOGLEFINANCE(A7,""shares"")"),1735184000)</f>
        <v>1735184000</v>
      </c>
      <c r="H7" s="10">
        <f ca="1">IFERROR(__xludf.DUMMYFUNCTION("GOOGLEFINANCE(A7,""marketcap"")"),197221019794)</f>
        <v>197221019794</v>
      </c>
      <c r="I7" s="13">
        <f ca="1">IFERROR(__xludf.DUMMYFUNCTION("GOOGLEFINANCE(A7,""volume"")"),5278164)</f>
        <v>5278164</v>
      </c>
      <c r="J7" s="13">
        <f ca="1">IFERROR(__xludf.DUMMYFUNCTION("GOOGLEFINANCE(A7,""volumeavg"")"),5870402)</f>
        <v>5870402</v>
      </c>
      <c r="K7" s="15">
        <f ca="1">IFERROR(__xludf.DUMMYFUNCTION("GOOGLEFINANCE(A7,""high52"")"),121.64)</f>
        <v>121.64</v>
      </c>
      <c r="L7" s="15">
        <f ca="1">IFERROR(__xludf.DUMMYFUNCTION("GOOGLEFINANCE(A7,""low52"")"),89.67)</f>
        <v>89.67</v>
      </c>
      <c r="M7" s="7">
        <f t="shared" ca="1" si="0"/>
        <v>45379.717931597224</v>
      </c>
    </row>
    <row r="8" spans="1:13">
      <c r="A8" s="4" t="s">
        <v>19</v>
      </c>
      <c r="B8" s="5" t="str">
        <f ca="1">IFERROR(__xludf.DUMMYFUNCTION("GoogleFinance(A8, ""name"")"),"Arch Capital Group Ltd.")</f>
        <v>Arch Capital Group Ltd.</v>
      </c>
      <c r="C8" s="15">
        <f ca="1">IFERROR(__xludf.DUMMYFUNCTION("GoogleFinance(A8, ""price"")"),92.44)</f>
        <v>92.44</v>
      </c>
      <c r="D8" s="6">
        <f ca="1">IFERROR(__xludf.DUMMYFUNCTION("GoogleFinance(A8, ""eps"")"),11.62)</f>
        <v>11.62</v>
      </c>
      <c r="E8" s="6">
        <f ca="1">IFERROR(__xludf.DUMMYFUNCTION("GOOGLEFINANCE(A8,""pe"")"),7.95)</f>
        <v>7.95</v>
      </c>
      <c r="F8" s="6">
        <f ca="1">IFERROR(__xludf.DUMMYFUNCTION("GoogleFinance(A8, ""beta"")"),0.57)</f>
        <v>0.56999999999999995</v>
      </c>
      <c r="G8" s="13">
        <f ca="1">IFERROR(__xludf.DUMMYFUNCTION("GOOGLEFINANCE(A8,""shares"")"),374151000)</f>
        <v>374151000</v>
      </c>
      <c r="H8" s="10">
        <f ca="1">IFERROR(__xludf.DUMMYFUNCTION("GOOGLEFINANCE(A8,""marketcap"")"),34586528597)</f>
        <v>34586528597</v>
      </c>
      <c r="I8" s="13">
        <f ca="1">IFERROR(__xludf.DUMMYFUNCTION("GOOGLEFINANCE(A8,""volume"")"),2462970)</f>
        <v>2462970</v>
      </c>
      <c r="J8" s="13">
        <f ca="1">IFERROR(__xludf.DUMMYFUNCTION("GOOGLEFINANCE(A8,""volumeavg"")"),1866076)</f>
        <v>1866076</v>
      </c>
      <c r="K8" s="15">
        <f ca="1">IFERROR(__xludf.DUMMYFUNCTION("GOOGLEFINANCE(A8,""high52"")"),92.58)</f>
        <v>92.58</v>
      </c>
      <c r="L8" s="15">
        <f ca="1">IFERROR(__xludf.DUMMYFUNCTION("GOOGLEFINANCE(A8,""low52"")"),66.88)</f>
        <v>66.88</v>
      </c>
      <c r="M8" s="7">
        <f t="shared" ca="1" si="0"/>
        <v>45379.717931597224</v>
      </c>
    </row>
    <row r="9" spans="1:13">
      <c r="A9" s="4" t="s">
        <v>20</v>
      </c>
      <c r="B9" s="5" t="str">
        <f ca="1">IFERROR(__xludf.DUMMYFUNCTION("GoogleFinance(A9, ""name"")"),"Accenture Plc")</f>
        <v>Accenture Plc</v>
      </c>
      <c r="C9" s="15">
        <f ca="1">IFERROR(__xludf.DUMMYFUNCTION("GoogleFinance(A9, ""price"")"),346.61)</f>
        <v>346.61</v>
      </c>
      <c r="D9" s="6">
        <f ca="1">IFERROR(__xludf.DUMMYFUNCTION("GoogleFinance(A9, ""eps"")"),11.03)</f>
        <v>11.03</v>
      </c>
      <c r="E9" s="6">
        <f ca="1">IFERROR(__xludf.DUMMYFUNCTION("GOOGLEFINANCE(A9,""pe"")"),31.42)</f>
        <v>31.42</v>
      </c>
      <c r="F9" s="6">
        <f ca="1">IFERROR(__xludf.DUMMYFUNCTION("GoogleFinance(A9, ""beta"")"),1.21)</f>
        <v>1.21</v>
      </c>
      <c r="G9" s="13">
        <f ca="1">IFERROR(__xludf.DUMMYFUNCTION("GOOGLEFINANCE(A9,""shares"")"),670422000)</f>
        <v>670422000</v>
      </c>
      <c r="H9" s="10">
        <f ca="1">IFERROR(__xludf.DUMMYFUNCTION("GOOGLEFINANCE(A9,""marketcap"")"),232374855616)</f>
        <v>232374855616</v>
      </c>
      <c r="I9" s="13">
        <f ca="1">IFERROR(__xludf.DUMMYFUNCTION("GOOGLEFINANCE(A9,""volume"")"),3614930)</f>
        <v>3614930</v>
      </c>
      <c r="J9" s="13">
        <f ca="1">IFERROR(__xludf.DUMMYFUNCTION("GOOGLEFINANCE(A9,""volumeavg"")"),2423733)</f>
        <v>2423733</v>
      </c>
      <c r="K9" s="15">
        <f ca="1">IFERROR(__xludf.DUMMYFUNCTION("GOOGLEFINANCE(A9,""high52"")"),387.51)</f>
        <v>387.51</v>
      </c>
      <c r="L9" s="15">
        <f ca="1">IFERROR(__xludf.DUMMYFUNCTION("GOOGLEFINANCE(A9,""low52"")"),261.68)</f>
        <v>261.68</v>
      </c>
      <c r="M9" s="7">
        <f t="shared" ca="1" si="0"/>
        <v>45379.717931597224</v>
      </c>
    </row>
    <row r="10" spans="1:13">
      <c r="A10" s="4" t="s">
        <v>21</v>
      </c>
      <c r="B10" s="5" t="str">
        <f ca="1">IFERROR(__xludf.DUMMYFUNCTION("GoogleFinance(A10, ""name"")"),"Adobe Inc")</f>
        <v>Adobe Inc</v>
      </c>
      <c r="C10" s="15">
        <f ca="1">IFERROR(__xludf.DUMMYFUNCTION("GoogleFinance(A10, ""price"")"),504.6)</f>
        <v>504.6</v>
      </c>
      <c r="D10" s="6">
        <f ca="1">IFERROR(__xludf.DUMMYFUNCTION("GoogleFinance(A10, ""eps"")"),10.47)</f>
        <v>10.47</v>
      </c>
      <c r="E10" s="6">
        <f ca="1">IFERROR(__xludf.DUMMYFUNCTION("GOOGLEFINANCE(A10,""pe"")"),48.2)</f>
        <v>48.2</v>
      </c>
      <c r="F10" s="6">
        <f ca="1">IFERROR(__xludf.DUMMYFUNCTION("GoogleFinance(A10, ""beta"")"),1.29)</f>
        <v>1.29</v>
      </c>
      <c r="G10" s="13">
        <f ca="1">IFERROR(__xludf.DUMMYFUNCTION("GOOGLEFINANCE(A10,""shares"")"),452546000)</f>
        <v>452546000</v>
      </c>
      <c r="H10" s="10">
        <f ca="1">IFERROR(__xludf.DUMMYFUNCTION("GOOGLEFINANCE(A10,""marketcap"")"),228354764822)</f>
        <v>228354764822</v>
      </c>
      <c r="I10" s="13">
        <f ca="1">IFERROR(__xludf.DUMMYFUNCTION("GOOGLEFINANCE(A10,""volume"")"),3896889)</f>
        <v>3896889</v>
      </c>
      <c r="J10" s="13">
        <f ca="1">IFERROR(__xludf.DUMMYFUNCTION("GOOGLEFINANCE(A10,""volumeavg"")"),4910442)</f>
        <v>4910442</v>
      </c>
      <c r="K10" s="15">
        <f ca="1">IFERROR(__xludf.DUMMYFUNCTION("GOOGLEFINANCE(A10,""high52"")"),638.25)</f>
        <v>638.25</v>
      </c>
      <c r="L10" s="15">
        <f ca="1">IFERROR(__xludf.DUMMYFUNCTION("GOOGLEFINANCE(A10,""low52"")"),331.89)</f>
        <v>331.89</v>
      </c>
      <c r="M10" s="7">
        <f t="shared" ca="1" si="0"/>
        <v>45379.717931597224</v>
      </c>
    </row>
    <row r="11" spans="1:13">
      <c r="A11" s="4" t="s">
        <v>22</v>
      </c>
      <c r="B11" s="5" t="str">
        <f ca="1">IFERROR(__xludf.DUMMYFUNCTION("GoogleFinance(A11, ""name"")"),"Analog Devices, Inc.")</f>
        <v>Analog Devices, Inc.</v>
      </c>
      <c r="C11" s="15">
        <f ca="1">IFERROR(__xludf.DUMMYFUNCTION("GoogleFinance(A11, ""price"")"),197.79)</f>
        <v>197.79</v>
      </c>
      <c r="D11" s="6">
        <f ca="1">IFERROR(__xludf.DUMMYFUNCTION("GoogleFinance(A11, ""eps"")"),5.59)</f>
        <v>5.59</v>
      </c>
      <c r="E11" s="6">
        <f ca="1">IFERROR(__xludf.DUMMYFUNCTION("GOOGLEFINANCE(A11,""pe"")"),35.4)</f>
        <v>35.4</v>
      </c>
      <c r="F11" s="6">
        <f ca="1">IFERROR(__xludf.DUMMYFUNCTION("GoogleFinance(A11, ""beta"")"),1.17)</f>
        <v>1.17</v>
      </c>
      <c r="G11" s="13">
        <f ca="1">IFERROR(__xludf.DUMMYFUNCTION("GOOGLEFINANCE(A11,""shares"")"),495908000)</f>
        <v>495908000</v>
      </c>
      <c r="H11" s="10">
        <f ca="1">IFERROR(__xludf.DUMMYFUNCTION("GOOGLEFINANCE(A11,""marketcap"")"),98085659769)</f>
        <v>98085659769</v>
      </c>
      <c r="I11" s="13">
        <f ca="1">IFERROR(__xludf.DUMMYFUNCTION("GOOGLEFINANCE(A11,""volume"")"),3119793)</f>
        <v>3119793</v>
      </c>
      <c r="J11" s="13">
        <f ca="1">IFERROR(__xludf.DUMMYFUNCTION("GOOGLEFINANCE(A11,""volumeavg"")"),3542518)</f>
        <v>3542518</v>
      </c>
      <c r="K11" s="15">
        <f ca="1">IFERROR(__xludf.DUMMYFUNCTION("GOOGLEFINANCE(A11,""high52"")"),202.77)</f>
        <v>202.77</v>
      </c>
      <c r="L11" s="15">
        <f ca="1">IFERROR(__xludf.DUMMYFUNCTION("GOOGLEFINANCE(A11,""low52"")"),154.99)</f>
        <v>154.99</v>
      </c>
      <c r="M11" s="7">
        <f t="shared" ca="1" si="0"/>
        <v>45379.717931597224</v>
      </c>
    </row>
    <row r="12" spans="1:13">
      <c r="A12" s="4" t="s">
        <v>23</v>
      </c>
      <c r="B12" s="5" t="str">
        <f ca="1">IFERROR(__xludf.DUMMYFUNCTION("GoogleFinance(A12, ""name"")"),"Archer-Daniels-Midland Co")</f>
        <v>Archer-Daniels-Midland Co</v>
      </c>
      <c r="C12" s="15">
        <f ca="1">IFERROR(__xludf.DUMMYFUNCTION("GoogleFinance(A12, ""price"")"),62.81)</f>
        <v>62.81</v>
      </c>
      <c r="D12" s="6">
        <f ca="1">IFERROR(__xludf.DUMMYFUNCTION("GoogleFinance(A12, ""eps"")"),6.43)</f>
        <v>6.43</v>
      </c>
      <c r="E12" s="6">
        <f ca="1">IFERROR(__xludf.DUMMYFUNCTION("GOOGLEFINANCE(A12,""pe"")"),9.77)</f>
        <v>9.77</v>
      </c>
      <c r="F12" s="6">
        <f ca="1">IFERROR(__xludf.DUMMYFUNCTION("GoogleFinance(A12, ""beta"")"),0.75)</f>
        <v>0.75</v>
      </c>
      <c r="G12" s="13">
        <f ca="1">IFERROR(__xludf.DUMMYFUNCTION("GOOGLEFINANCE(A12,""shares"")"),509849000)</f>
        <v>509849000</v>
      </c>
      <c r="H12" s="10">
        <f ca="1">IFERROR(__xludf.DUMMYFUNCTION("GOOGLEFINANCE(A12,""marketcap"")"),32023622671)</f>
        <v>32023622671</v>
      </c>
      <c r="I12" s="13">
        <f ca="1">IFERROR(__xludf.DUMMYFUNCTION("GOOGLEFINANCE(A12,""volume"")"),4120593)</f>
        <v>4120593</v>
      </c>
      <c r="J12" s="13">
        <f ca="1">IFERROR(__xludf.DUMMYFUNCTION("GOOGLEFINANCE(A12,""volumeavg"")"),5686267)</f>
        <v>5686267</v>
      </c>
      <c r="K12" s="15">
        <f ca="1">IFERROR(__xludf.DUMMYFUNCTION("GOOGLEFINANCE(A12,""high52"")"),87.3)</f>
        <v>87.3</v>
      </c>
      <c r="L12" s="15">
        <f ca="1">IFERROR(__xludf.DUMMYFUNCTION("GOOGLEFINANCE(A12,""low52"")"),50.72)</f>
        <v>50.72</v>
      </c>
      <c r="M12" s="7">
        <f t="shared" ca="1" si="0"/>
        <v>45379.717931597224</v>
      </c>
    </row>
    <row r="13" spans="1:13">
      <c r="A13" s="4" t="s">
        <v>24</v>
      </c>
      <c r="B13" s="5" t="str">
        <f ca="1">IFERROR(__xludf.DUMMYFUNCTION("GoogleFinance(A13, ""name"")"),"Automatic Data Processing Inc")</f>
        <v>Automatic Data Processing Inc</v>
      </c>
      <c r="C13" s="15">
        <f ca="1">IFERROR(__xludf.DUMMYFUNCTION("GoogleFinance(A13, ""price"")"),249.74)</f>
        <v>249.74</v>
      </c>
      <c r="D13" s="6">
        <f ca="1">IFERROR(__xludf.DUMMYFUNCTION("GoogleFinance(A13, ""eps"")"),8.59)</f>
        <v>8.59</v>
      </c>
      <c r="E13" s="6">
        <f ca="1">IFERROR(__xludf.DUMMYFUNCTION("GOOGLEFINANCE(A13,""pe"")"),29.06)</f>
        <v>29.06</v>
      </c>
      <c r="F13" s="6">
        <f ca="1">IFERROR(__xludf.DUMMYFUNCTION("GoogleFinance(A13, ""beta"")"),0.78)</f>
        <v>0.78</v>
      </c>
      <c r="G13" s="13">
        <f ca="1">IFERROR(__xludf.DUMMYFUNCTION("GOOGLEFINANCE(A13,""shares"")"),410791000)</f>
        <v>410791000</v>
      </c>
      <c r="H13" s="10">
        <f ca="1">IFERROR(__xludf.DUMMYFUNCTION("GOOGLEFINANCE(A13,""marketcap"")"),102590796752)</f>
        <v>102590796752</v>
      </c>
      <c r="I13" s="13">
        <f ca="1">IFERROR(__xludf.DUMMYFUNCTION("GOOGLEFINANCE(A13,""volume"")"),1302004)</f>
        <v>1302004</v>
      </c>
      <c r="J13" s="13">
        <f ca="1">IFERROR(__xludf.DUMMYFUNCTION("GOOGLEFINANCE(A13,""volumeavg"")"),2133884)</f>
        <v>2133884</v>
      </c>
      <c r="K13" s="15">
        <f ca="1">IFERROR(__xludf.DUMMYFUNCTION("GOOGLEFINANCE(A13,""high52"")"),256.84)</f>
        <v>256.83999999999997</v>
      </c>
      <c r="L13" s="15">
        <f ca="1">IFERROR(__xludf.DUMMYFUNCTION("GOOGLEFINANCE(A13,""low52"")"),201.46)</f>
        <v>201.46</v>
      </c>
      <c r="M13" s="7">
        <f t="shared" ca="1" si="0"/>
        <v>45379.717931597224</v>
      </c>
    </row>
    <row r="14" spans="1:13">
      <c r="A14" s="4" t="s">
        <v>25</v>
      </c>
      <c r="B14" s="5" t="str">
        <f ca="1">IFERROR(__xludf.DUMMYFUNCTION("GoogleFinance(A14, ""name"")"),"Autodesk Inc")</f>
        <v>Autodesk Inc</v>
      </c>
      <c r="C14" s="15">
        <f ca="1">IFERROR(__xludf.DUMMYFUNCTION("GoogleFinance(A14, ""price"")"),260.42)</f>
        <v>260.42</v>
      </c>
      <c r="D14" s="6">
        <f ca="1">IFERROR(__xludf.DUMMYFUNCTION("GoogleFinance(A14, ""eps"")"),4.19)</f>
        <v>4.1900000000000004</v>
      </c>
      <c r="E14" s="6">
        <f ca="1">IFERROR(__xludf.DUMMYFUNCTION("GOOGLEFINANCE(A14,""pe"")"),62.09)</f>
        <v>62.09</v>
      </c>
      <c r="F14" s="6">
        <f ca="1">IFERROR(__xludf.DUMMYFUNCTION("GoogleFinance(A14, ""beta"")"),1.43)</f>
        <v>1.43</v>
      </c>
      <c r="G14" s="13">
        <f ca="1">IFERROR(__xludf.DUMMYFUNCTION("GOOGLEFINANCE(A14,""shares"")"),213915000)</f>
        <v>213915000</v>
      </c>
      <c r="H14" s="10">
        <f ca="1">IFERROR(__xludf.DUMMYFUNCTION("GOOGLEFINANCE(A14,""marketcap"")"),55707825298)</f>
        <v>55707825298</v>
      </c>
      <c r="I14" s="13">
        <f ca="1">IFERROR(__xludf.DUMMYFUNCTION("GOOGLEFINANCE(A14,""volume"")"),896092)</f>
        <v>896092</v>
      </c>
      <c r="J14" s="13">
        <f ca="1">IFERROR(__xludf.DUMMYFUNCTION("GOOGLEFINANCE(A14,""volumeavg"")"),1407129)</f>
        <v>1407129</v>
      </c>
      <c r="K14" s="15">
        <f ca="1">IFERROR(__xludf.DUMMYFUNCTION("GOOGLEFINANCE(A14,""high52"")"),279.53)</f>
        <v>279.52999999999997</v>
      </c>
      <c r="L14" s="15">
        <f ca="1">IFERROR(__xludf.DUMMYFUNCTION("GOOGLEFINANCE(A14,""low52"")"),188.38)</f>
        <v>188.38</v>
      </c>
      <c r="M14" s="7">
        <f t="shared" ca="1" si="0"/>
        <v>45379.717931597224</v>
      </c>
    </row>
    <row r="15" spans="1:13">
      <c r="A15" s="4" t="s">
        <v>26</v>
      </c>
      <c r="B15" s="5" t="str">
        <f ca="1">IFERROR(__xludf.DUMMYFUNCTION("GoogleFinance(A15, ""name"")"),"Ameren Corp")</f>
        <v>Ameren Corp</v>
      </c>
      <c r="C15" s="15">
        <f ca="1">IFERROR(__xludf.DUMMYFUNCTION("GoogleFinance(A15, ""price"")"),73.96)</f>
        <v>73.959999999999994</v>
      </c>
      <c r="D15" s="6">
        <f ca="1">IFERROR(__xludf.DUMMYFUNCTION("GoogleFinance(A15, ""eps"")"),4.37)</f>
        <v>4.37</v>
      </c>
      <c r="E15" s="6">
        <f ca="1">IFERROR(__xludf.DUMMYFUNCTION("GOOGLEFINANCE(A15,""pe"")"),16.91)</f>
        <v>16.91</v>
      </c>
      <c r="F15" s="6">
        <f ca="1">IFERROR(__xludf.DUMMYFUNCTION("GoogleFinance(A15, ""beta"")"),0.43)</f>
        <v>0.43</v>
      </c>
      <c r="G15" s="13">
        <f ca="1">IFERROR(__xludf.DUMMYFUNCTION("GOOGLEFINANCE(A15,""shares"")"),266289000)</f>
        <v>266289000</v>
      </c>
      <c r="H15" s="10">
        <f ca="1">IFERROR(__xludf.DUMMYFUNCTION("GOOGLEFINANCE(A15,""marketcap"")"),19694719404)</f>
        <v>19694719404</v>
      </c>
      <c r="I15" s="13">
        <f ca="1">IFERROR(__xludf.DUMMYFUNCTION("GOOGLEFINANCE(A15,""volume"")"),1945777)</f>
        <v>1945777</v>
      </c>
      <c r="J15" s="13">
        <f ca="1">IFERROR(__xludf.DUMMYFUNCTION("GOOGLEFINANCE(A15,""volumeavg"")"),1847249)</f>
        <v>1847249</v>
      </c>
      <c r="K15" s="15">
        <f ca="1">IFERROR(__xludf.DUMMYFUNCTION("GOOGLEFINANCE(A15,""high52"")"),91.18)</f>
        <v>91.18</v>
      </c>
      <c r="L15" s="15">
        <f ca="1">IFERROR(__xludf.DUMMYFUNCTION("GOOGLEFINANCE(A15,""low52"")"),67.03)</f>
        <v>67.03</v>
      </c>
      <c r="M15" s="7">
        <f t="shared" ca="1" si="0"/>
        <v>45379.717931597224</v>
      </c>
    </row>
    <row r="16" spans="1:13">
      <c r="A16" s="4" t="s">
        <v>27</v>
      </c>
      <c r="B16" s="5" t="str">
        <f ca="1">IFERROR(__xludf.DUMMYFUNCTION("GoogleFinance(A16, ""name"")"),"American Electric Power Company Inc")</f>
        <v>American Electric Power Company Inc</v>
      </c>
      <c r="C16" s="15">
        <f ca="1">IFERROR(__xludf.DUMMYFUNCTION("GoogleFinance(A16, ""price"")"),86.1)</f>
        <v>86.1</v>
      </c>
      <c r="D16" s="6">
        <f ca="1">IFERROR(__xludf.DUMMYFUNCTION("GoogleFinance(A16, ""eps"")"),4.24)</f>
        <v>4.24</v>
      </c>
      <c r="E16" s="6">
        <f ca="1">IFERROR(__xludf.DUMMYFUNCTION("GOOGLEFINANCE(A16,""pe"")"),20.28)</f>
        <v>20.28</v>
      </c>
      <c r="F16" s="6">
        <f ca="1">IFERROR(__xludf.DUMMYFUNCTION("GoogleFinance(A16, ""beta"")"),0.51)</f>
        <v>0.51</v>
      </c>
      <c r="G16" s="13">
        <f ca="1">IFERROR(__xludf.DUMMYFUNCTION("GOOGLEFINANCE(A16,""shares"")"),526185000)</f>
        <v>526185000</v>
      </c>
      <c r="H16" s="10">
        <f ca="1">IFERROR(__xludf.DUMMYFUNCTION("GOOGLEFINANCE(A16,""marketcap"")"),45339424026)</f>
        <v>45339424026</v>
      </c>
      <c r="I16" s="13">
        <f ca="1">IFERROR(__xludf.DUMMYFUNCTION("GOOGLEFINANCE(A16,""volume"")"),3077284)</f>
        <v>3077284</v>
      </c>
      <c r="J16" s="13">
        <f ca="1">IFERROR(__xludf.DUMMYFUNCTION("GOOGLEFINANCE(A16,""volumeavg"")"),4647691)</f>
        <v>4647691</v>
      </c>
      <c r="K16" s="15">
        <f ca="1">IFERROR(__xludf.DUMMYFUNCTION("GOOGLEFINANCE(A16,""high52"")"),96.05)</f>
        <v>96.05</v>
      </c>
      <c r="L16" s="15">
        <f ca="1">IFERROR(__xludf.DUMMYFUNCTION("GOOGLEFINANCE(A16,""low52"")"),69.38)</f>
        <v>69.38</v>
      </c>
      <c r="M16" s="7">
        <f t="shared" ca="1" si="0"/>
        <v>45379.717931597224</v>
      </c>
    </row>
    <row r="17" spans="1:13">
      <c r="A17" s="4" t="s">
        <v>28</v>
      </c>
      <c r="B17" s="5" t="str">
        <f ca="1">IFERROR(__xludf.DUMMYFUNCTION("GoogleFinance(A17, ""name"")"),"AES Corp")</f>
        <v>AES Corp</v>
      </c>
      <c r="C17" s="15">
        <f ca="1">IFERROR(__xludf.DUMMYFUNCTION("GoogleFinance(A17, ""price"")"),17.93)</f>
        <v>17.93</v>
      </c>
      <c r="D17" s="6">
        <f ca="1">IFERROR(__xludf.DUMMYFUNCTION("GoogleFinance(A17, ""eps"")"),0.34)</f>
        <v>0.34</v>
      </c>
      <c r="E17" s="6">
        <f ca="1">IFERROR(__xludf.DUMMYFUNCTION("GOOGLEFINANCE(A17,""pe"")"),52.54)</f>
        <v>52.54</v>
      </c>
      <c r="F17" s="6">
        <f ca="1">IFERROR(__xludf.DUMMYFUNCTION("GoogleFinance(A17, ""beta"")"),1.07)</f>
        <v>1.07</v>
      </c>
      <c r="G17" s="13">
        <f ca="1">IFERROR(__xludf.DUMMYFUNCTION("GOOGLEFINANCE(A17,""shares"")"),710287000)</f>
        <v>710287000</v>
      </c>
      <c r="H17" s="10">
        <f ca="1">IFERROR(__xludf.DUMMYFUNCTION("GOOGLEFINANCE(A17,""marketcap"")"),12744789449)</f>
        <v>12744789449</v>
      </c>
      <c r="I17" s="13">
        <f ca="1">IFERROR(__xludf.DUMMYFUNCTION("GOOGLEFINANCE(A17,""volume"")"),11784072)</f>
        <v>11784072</v>
      </c>
      <c r="J17" s="13">
        <f ca="1">IFERROR(__xludf.DUMMYFUNCTION("GOOGLEFINANCE(A17,""volumeavg"")"),10554138)</f>
        <v>10554138</v>
      </c>
      <c r="K17" s="15">
        <f ca="1">IFERROR(__xludf.DUMMYFUNCTION("GOOGLEFINANCE(A17,""high52"")"),25.74)</f>
        <v>25.74</v>
      </c>
      <c r="L17" s="15">
        <f ca="1">IFERROR(__xludf.DUMMYFUNCTION("GOOGLEFINANCE(A17,""low52"")"),11.43)</f>
        <v>11.43</v>
      </c>
      <c r="M17" s="7">
        <f t="shared" ca="1" si="0"/>
        <v>45379.717931597224</v>
      </c>
    </row>
    <row r="18" spans="1:13">
      <c r="A18" s="4" t="s">
        <v>29</v>
      </c>
      <c r="B18" s="5" t="str">
        <f ca="1">IFERROR(__xludf.DUMMYFUNCTION("GoogleFinance(A18, ""name"")"),"Aflac Inc")</f>
        <v>Aflac Inc</v>
      </c>
      <c r="C18" s="15">
        <f ca="1">IFERROR(__xludf.DUMMYFUNCTION("GoogleFinance(A18, ""price"")"),85.86)</f>
        <v>85.86</v>
      </c>
      <c r="D18" s="6">
        <f ca="1">IFERROR(__xludf.DUMMYFUNCTION("GoogleFinance(A18, ""eps"")"),7.78)</f>
        <v>7.78</v>
      </c>
      <c r="E18" s="6">
        <f ca="1">IFERROR(__xludf.DUMMYFUNCTION("GOOGLEFINANCE(A18,""pe"")"),11.03)</f>
        <v>11.03</v>
      </c>
      <c r="F18" s="6">
        <f ca="1">IFERROR(__xludf.DUMMYFUNCTION("GoogleFinance(A18, ""beta"")"),0.91)</f>
        <v>0.91</v>
      </c>
      <c r="G18" s="13">
        <f ca="1">IFERROR(__xludf.DUMMYFUNCTION("GOOGLEFINANCE(A18,""shares"")"),575408000)</f>
        <v>575408000</v>
      </c>
      <c r="H18" s="10">
        <f ca="1">IFERROR(__xludf.DUMMYFUNCTION("GOOGLEFINANCE(A18,""marketcap"")"),49404531231)</f>
        <v>49404531231</v>
      </c>
      <c r="I18" s="13">
        <f ca="1">IFERROR(__xludf.DUMMYFUNCTION("GOOGLEFINANCE(A18,""volume"")"),2564010)</f>
        <v>2564010</v>
      </c>
      <c r="J18" s="13">
        <f ca="1">IFERROR(__xludf.DUMMYFUNCTION("GOOGLEFINANCE(A18,""volumeavg"")"),2172952)</f>
        <v>2172952</v>
      </c>
      <c r="K18" s="15">
        <f ca="1">IFERROR(__xludf.DUMMYFUNCTION("GOOGLEFINANCE(A18,""high52"")"),86.26)</f>
        <v>86.26</v>
      </c>
      <c r="L18" s="15">
        <f ca="1">IFERROR(__xludf.DUMMYFUNCTION("GOOGLEFINANCE(A18,""low52"")"),63.08)</f>
        <v>63.08</v>
      </c>
      <c r="M18" s="7">
        <f t="shared" ca="1" si="0"/>
        <v>45379.717931597224</v>
      </c>
    </row>
    <row r="19" spans="1:13">
      <c r="A19" s="4" t="s">
        <v>30</v>
      </c>
      <c r="B19" s="5" t="str">
        <f ca="1">IFERROR(__xludf.DUMMYFUNCTION("GoogleFinance(A19, ""name"")"),"American International Group Inc")</f>
        <v>American International Group Inc</v>
      </c>
      <c r="C19" s="15">
        <f ca="1">IFERROR(__xludf.DUMMYFUNCTION("GoogleFinance(A19, ""price"")"),78.17)</f>
        <v>78.17</v>
      </c>
      <c r="D19" s="6">
        <f ca="1">IFERROR(__xludf.DUMMYFUNCTION("GoogleFinance(A19, ""eps"")"),4.98)</f>
        <v>4.9800000000000004</v>
      </c>
      <c r="E19" s="6">
        <f ca="1">IFERROR(__xludf.DUMMYFUNCTION("GOOGLEFINANCE(A19,""pe"")"),15.69)</f>
        <v>15.69</v>
      </c>
      <c r="F19" s="6">
        <f ca="1">IFERROR(__xludf.DUMMYFUNCTION("GoogleFinance(A19, ""beta"")"),1.02)</f>
        <v>1.02</v>
      </c>
      <c r="G19" s="13">
        <f ca="1">IFERROR(__xludf.DUMMYFUNCTION("GOOGLEFINANCE(A19,""shares"")"),680954000)</f>
        <v>680954000</v>
      </c>
      <c r="H19" s="10">
        <f ca="1">IFERROR(__xludf.DUMMYFUNCTION("GOOGLEFINANCE(A19,""marketcap"")"),53230141665)</f>
        <v>53230141665</v>
      </c>
      <c r="I19" s="13">
        <f ca="1">IFERROR(__xludf.DUMMYFUNCTION("GOOGLEFINANCE(A19,""volume"")"),4293049)</f>
        <v>4293049</v>
      </c>
      <c r="J19" s="13">
        <f ca="1">IFERROR(__xludf.DUMMYFUNCTION("GOOGLEFINANCE(A19,""volumeavg"")"),4389687)</f>
        <v>4389687</v>
      </c>
      <c r="K19" s="15">
        <f ca="1">IFERROR(__xludf.DUMMYFUNCTION("GOOGLEFINANCE(A19,""high52"")"),78.7)</f>
        <v>78.7</v>
      </c>
      <c r="L19" s="15">
        <f ca="1">IFERROR(__xludf.DUMMYFUNCTION("GOOGLEFINANCE(A19,""low52"")"),47.99)</f>
        <v>47.99</v>
      </c>
      <c r="M19" s="7">
        <f t="shared" ca="1" si="0"/>
        <v>45379.717931597224</v>
      </c>
    </row>
    <row r="20" spans="1:13">
      <c r="A20" s="4" t="s">
        <v>31</v>
      </c>
      <c r="B20" s="5" t="str">
        <f ca="1">IFERROR(__xludf.DUMMYFUNCTION("GoogleFinance(A20, ""name"")"),"Assurant Inc")</f>
        <v>Assurant Inc</v>
      </c>
      <c r="C20" s="15">
        <f ca="1">IFERROR(__xludf.DUMMYFUNCTION("GoogleFinance(A20, ""price"")"),188.24)</f>
        <v>188.24</v>
      </c>
      <c r="D20" s="6">
        <f ca="1">IFERROR(__xludf.DUMMYFUNCTION("GoogleFinance(A20, ""eps"")"),11.95)</f>
        <v>11.95</v>
      </c>
      <c r="E20" s="6">
        <f ca="1">IFERROR(__xludf.DUMMYFUNCTION("GOOGLEFINANCE(A20,""pe"")"),15.76)</f>
        <v>15.76</v>
      </c>
      <c r="F20" s="6">
        <f ca="1">IFERROR(__xludf.DUMMYFUNCTION("GoogleFinance(A20, ""beta"")"),0.5)</f>
        <v>0.5</v>
      </c>
      <c r="G20" s="13">
        <f ca="1">IFERROR(__xludf.DUMMYFUNCTION("GOOGLEFINANCE(A20,""shares"")"),51978000)</f>
        <v>51978000</v>
      </c>
      <c r="H20" s="10">
        <f ca="1">IFERROR(__xludf.DUMMYFUNCTION("GOOGLEFINANCE(A20,""marketcap"")"),9784269356)</f>
        <v>9784269356</v>
      </c>
      <c r="I20" s="13">
        <f ca="1">IFERROR(__xludf.DUMMYFUNCTION("GOOGLEFINANCE(A20,""volume"")"),339578)</f>
        <v>339578</v>
      </c>
      <c r="J20" s="13">
        <f ca="1">IFERROR(__xludf.DUMMYFUNCTION("GOOGLEFINANCE(A20,""volumeavg"")"),328467)</f>
        <v>328467</v>
      </c>
      <c r="K20" s="15">
        <f ca="1">IFERROR(__xludf.DUMMYFUNCTION("GOOGLEFINANCE(A20,""high52"")"),189.48)</f>
        <v>189.48</v>
      </c>
      <c r="L20" s="15">
        <f ca="1">IFERROR(__xludf.DUMMYFUNCTION("GOOGLEFINANCE(A20,""low52"")"),115.41)</f>
        <v>115.41</v>
      </c>
      <c r="M20" s="7">
        <f t="shared" ca="1" si="0"/>
        <v>45379.717931597224</v>
      </c>
    </row>
    <row r="21" spans="1:13">
      <c r="A21" s="4" t="s">
        <v>32</v>
      </c>
      <c r="B21" s="5" t="str">
        <f ca="1">IFERROR(__xludf.DUMMYFUNCTION("GoogleFinance(A21, ""name"")"),"Arthur J Gallagher &amp; Co")</f>
        <v>Arthur J Gallagher &amp; Co</v>
      </c>
      <c r="C21" s="15">
        <f ca="1">IFERROR(__xludf.DUMMYFUNCTION("GoogleFinance(A21, ""price"")"),250.04)</f>
        <v>250.04</v>
      </c>
      <c r="D21" s="6">
        <f ca="1">IFERROR(__xludf.DUMMYFUNCTION("GoogleFinance(A21, ""eps"")"),4.42)</f>
        <v>4.42</v>
      </c>
      <c r="E21" s="6">
        <f ca="1">IFERROR(__xludf.DUMMYFUNCTION("GOOGLEFINANCE(A21,""pe"")"),56.56)</f>
        <v>56.56</v>
      </c>
      <c r="F21" s="6">
        <f ca="1">IFERROR(__xludf.DUMMYFUNCTION("GoogleFinance(A21, ""beta"")"),0.68)</f>
        <v>0.68</v>
      </c>
      <c r="G21" s="13">
        <f ca="1">IFERROR(__xludf.DUMMYFUNCTION("GOOGLEFINANCE(A21,""shares"")"),216800000)</f>
        <v>216800000</v>
      </c>
      <c r="H21" s="10">
        <f ca="1">IFERROR(__xludf.DUMMYFUNCTION("GOOGLEFINANCE(A21,""marketcap"")"),54584405642)</f>
        <v>54584405642</v>
      </c>
      <c r="I21" s="13">
        <f ca="1">IFERROR(__xludf.DUMMYFUNCTION("GOOGLEFINANCE(A21,""volume"")"),960721)</f>
        <v>960721</v>
      </c>
      <c r="J21" s="13">
        <f ca="1">IFERROR(__xludf.DUMMYFUNCTION("GOOGLEFINANCE(A21,""volumeavg"")"),784820)</f>
        <v>784820</v>
      </c>
      <c r="K21" s="15">
        <f ca="1">IFERROR(__xludf.DUMMYFUNCTION("GOOGLEFINANCE(A21,""high52"")"),256.1)</f>
        <v>256.10000000000002</v>
      </c>
      <c r="L21" s="15">
        <f ca="1">IFERROR(__xludf.DUMMYFUNCTION("GOOGLEFINANCE(A21,""low52"")"),186.88)</f>
        <v>186.88</v>
      </c>
      <c r="M21" s="7">
        <f t="shared" ca="1" si="0"/>
        <v>45379.717931597224</v>
      </c>
    </row>
    <row r="22" spans="1:13">
      <c r="A22" s="4" t="s">
        <v>33</v>
      </c>
      <c r="B22" s="5" t="str">
        <f ca="1">IFERROR(__xludf.DUMMYFUNCTION("GoogleFinance(A22, ""name"")"),"Akamai Technologies, Inc.")</f>
        <v>Akamai Technologies, Inc.</v>
      </c>
      <c r="C22" s="15">
        <f ca="1">IFERROR(__xludf.DUMMYFUNCTION("GoogleFinance(A22, ""price"")"),108.76)</f>
        <v>108.76</v>
      </c>
      <c r="D22" s="6">
        <f ca="1">IFERROR(__xludf.DUMMYFUNCTION("GoogleFinance(A22, ""eps"")"),3.52)</f>
        <v>3.52</v>
      </c>
      <c r="E22" s="6">
        <f ca="1">IFERROR(__xludf.DUMMYFUNCTION("GOOGLEFINANCE(A22,""pe"")"),30.86)</f>
        <v>30.86</v>
      </c>
      <c r="F22" s="6">
        <f ca="1">IFERROR(__xludf.DUMMYFUNCTION("GoogleFinance(A22, ""beta"")"),0.72)</f>
        <v>0.72</v>
      </c>
      <c r="G22" s="13">
        <f ca="1">IFERROR(__xludf.DUMMYFUNCTION("GOOGLEFINANCE(A22,""shares"")"),151530000)</f>
        <v>151530000</v>
      </c>
      <c r="H22" s="10">
        <f ca="1">IFERROR(__xludf.DUMMYFUNCTION("GOOGLEFINANCE(A22,""marketcap"")"),16480435751)</f>
        <v>16480435751</v>
      </c>
      <c r="I22" s="13">
        <f ca="1">IFERROR(__xludf.DUMMYFUNCTION("GOOGLEFINANCE(A22,""volume"")"),1411510)</f>
        <v>1411510</v>
      </c>
      <c r="J22" s="13">
        <f ca="1">IFERROR(__xludf.DUMMYFUNCTION("GOOGLEFINANCE(A22,""volumeavg"")"),1969751)</f>
        <v>1969751</v>
      </c>
      <c r="K22" s="15">
        <f ca="1">IFERROR(__xludf.DUMMYFUNCTION("GOOGLEFINANCE(A22,""high52"")"),129.17)</f>
        <v>129.16999999999999</v>
      </c>
      <c r="L22" s="15">
        <f ca="1">IFERROR(__xludf.DUMMYFUNCTION("GOOGLEFINANCE(A22,""low52"")"),76.28)</f>
        <v>76.28</v>
      </c>
      <c r="M22" s="7">
        <f t="shared" ca="1" si="0"/>
        <v>45379.717931597224</v>
      </c>
    </row>
    <row r="23" spans="1:13">
      <c r="A23" s="4" t="s">
        <v>34</v>
      </c>
      <c r="B23" s="5" t="str">
        <f ca="1">IFERROR(__xludf.DUMMYFUNCTION("GoogleFinance(A23, ""name"")"),"Albemarle Corporation")</f>
        <v>Albemarle Corporation</v>
      </c>
      <c r="C23" s="15">
        <f ca="1">IFERROR(__xludf.DUMMYFUNCTION("GoogleFinance(A23, ""price"")"),131.74)</f>
        <v>131.74</v>
      </c>
      <c r="D23" s="6">
        <f ca="1">IFERROR(__xludf.DUMMYFUNCTION("GoogleFinance(A23, ""eps"")"),13.36)</f>
        <v>13.36</v>
      </c>
      <c r="E23" s="6">
        <f ca="1">IFERROR(__xludf.DUMMYFUNCTION("GOOGLEFINANCE(A23,""pe"")"),9.86)</f>
        <v>9.86</v>
      </c>
      <c r="F23" s="6">
        <f ca="1">IFERROR(__xludf.DUMMYFUNCTION("GoogleFinance(A23, ""beta"")"),1.62)</f>
        <v>1.62</v>
      </c>
      <c r="G23" s="13">
        <f ca="1">IFERROR(__xludf.DUMMYFUNCTION("GOOGLEFINANCE(A23,""shares"")"),117510000)</f>
        <v>117510000</v>
      </c>
      <c r="H23" s="10">
        <f ca="1">IFERROR(__xludf.DUMMYFUNCTION("GOOGLEFINANCE(A23,""marketcap"")"),15480820741)</f>
        <v>15480820741</v>
      </c>
      <c r="I23" s="13">
        <f ca="1">IFERROR(__xludf.DUMMYFUNCTION("GOOGLEFINANCE(A23,""volume"")"),3988667)</f>
        <v>3988667</v>
      </c>
      <c r="J23" s="13">
        <f ca="1">IFERROR(__xludf.DUMMYFUNCTION("GOOGLEFINANCE(A23,""volumeavg"")"),4060666)</f>
        <v>4060666</v>
      </c>
      <c r="K23" s="15">
        <f ca="1">IFERROR(__xludf.DUMMYFUNCTION("GOOGLEFINANCE(A23,""high52"")"),247.44)</f>
        <v>247.44</v>
      </c>
      <c r="L23" s="15">
        <f ca="1">IFERROR(__xludf.DUMMYFUNCTION("GOOGLEFINANCE(A23,""low52"")"),106.69)</f>
        <v>106.69</v>
      </c>
      <c r="M23" s="7">
        <f t="shared" ca="1" si="0"/>
        <v>45379.717931597224</v>
      </c>
    </row>
    <row r="24" spans="1:13">
      <c r="A24" s="4" t="s">
        <v>35</v>
      </c>
      <c r="B24" s="5" t="str">
        <f ca="1">IFERROR(__xludf.DUMMYFUNCTION("GoogleFinance(A24, ""name"")"),"Align Technology, Inc.")</f>
        <v>Align Technology, Inc.</v>
      </c>
      <c r="C24" s="15">
        <f ca="1">IFERROR(__xludf.DUMMYFUNCTION("GoogleFinance(A24, ""price"")"),327.92)</f>
        <v>327.92</v>
      </c>
      <c r="D24" s="6">
        <f ca="1">IFERROR(__xludf.DUMMYFUNCTION("GoogleFinance(A24, ""eps"")"),5.81)</f>
        <v>5.81</v>
      </c>
      <c r="E24" s="6">
        <f ca="1">IFERROR(__xludf.DUMMYFUNCTION("GOOGLEFINANCE(A24,""pe"")"),56.42)</f>
        <v>56.42</v>
      </c>
      <c r="F24" s="6">
        <f ca="1">IFERROR(__xludf.DUMMYFUNCTION("GoogleFinance(A24, ""beta"")"),1.65)</f>
        <v>1.65</v>
      </c>
      <c r="G24" s="13">
        <f ca="1">IFERROR(__xludf.DUMMYFUNCTION("GOOGLEFINANCE(A24,""shares"")"),75104000)</f>
        <v>75104000</v>
      </c>
      <c r="H24" s="10">
        <f ca="1">IFERROR(__xludf.DUMMYFUNCTION("GOOGLEFINANCE(A24,""marketcap"")"),24628140759)</f>
        <v>24628140759</v>
      </c>
      <c r="I24" s="13">
        <f ca="1">IFERROR(__xludf.DUMMYFUNCTION("GOOGLEFINANCE(A24,""volume"")"),367299)</f>
        <v>367299</v>
      </c>
      <c r="J24" s="13">
        <f ca="1">IFERROR(__xludf.DUMMYFUNCTION("GOOGLEFINANCE(A24,""volumeavg"")"),565140)</f>
        <v>565140</v>
      </c>
      <c r="K24" s="15">
        <f ca="1">IFERROR(__xludf.DUMMYFUNCTION("GOOGLEFINANCE(A24,""high52"")"),413.2)</f>
        <v>413.2</v>
      </c>
      <c r="L24" s="15">
        <f ca="1">IFERROR(__xludf.DUMMYFUNCTION("GOOGLEFINANCE(A24,""low52"")"),176.34)</f>
        <v>176.34</v>
      </c>
      <c r="M24" s="7">
        <f t="shared" ca="1" si="0"/>
        <v>45379.717931597224</v>
      </c>
    </row>
    <row r="25" spans="1:13">
      <c r="A25" s="4" t="s">
        <v>36</v>
      </c>
      <c r="B25" s="5" t="str">
        <f ca="1">IFERROR(__xludf.DUMMYFUNCTION("GoogleFinance(A25, ""name"")"),"Alaska Air Group, Inc.")</f>
        <v>Alaska Air Group, Inc.</v>
      </c>
      <c r="C25" s="15">
        <f ca="1">IFERROR(__xludf.DUMMYFUNCTION("GoogleFinance(A25, ""price"")"),42.99)</f>
        <v>42.99</v>
      </c>
      <c r="D25" s="6">
        <f ca="1">IFERROR(__xludf.DUMMYFUNCTION("GoogleFinance(A25, ""eps"")"),1.83)</f>
        <v>1.83</v>
      </c>
      <c r="E25" s="6">
        <f ca="1">IFERROR(__xludf.DUMMYFUNCTION("GOOGLEFINANCE(A25,""pe"")"),23.55)</f>
        <v>23.55</v>
      </c>
      <c r="F25" s="6">
        <f ca="1">IFERROR(__xludf.DUMMYFUNCTION("GoogleFinance(A25, ""beta"")"),1.62)</f>
        <v>1.62</v>
      </c>
      <c r="G25" s="13">
        <f ca="1">IFERROR(__xludf.DUMMYFUNCTION("GOOGLEFINANCE(A25,""shares"")"),126049000)</f>
        <v>126049000</v>
      </c>
      <c r="H25" s="10">
        <f ca="1">IFERROR(__xludf.DUMMYFUNCTION("GOOGLEFINANCE(A25,""marketcap"")"),5418842422)</f>
        <v>5418842422</v>
      </c>
      <c r="I25" s="13">
        <f ca="1">IFERROR(__xludf.DUMMYFUNCTION("GOOGLEFINANCE(A25,""volume"")"),3311004)</f>
        <v>3311004</v>
      </c>
      <c r="J25" s="13">
        <f ca="1">IFERROR(__xludf.DUMMYFUNCTION("GOOGLEFINANCE(A25,""volumeavg"")"),2075329)</f>
        <v>2075329</v>
      </c>
      <c r="K25" s="15">
        <f ca="1">IFERROR(__xludf.DUMMYFUNCTION("GOOGLEFINANCE(A25,""high52"")"),57.18)</f>
        <v>57.18</v>
      </c>
      <c r="L25" s="15">
        <f ca="1">IFERROR(__xludf.DUMMYFUNCTION("GOOGLEFINANCE(A25,""low52"")"),30.75)</f>
        <v>30.75</v>
      </c>
      <c r="M25" s="7">
        <f t="shared" ca="1" si="0"/>
        <v>45379.717931597224</v>
      </c>
    </row>
    <row r="26" spans="1:13">
      <c r="A26" s="4" t="s">
        <v>37</v>
      </c>
      <c r="B26" s="5" t="str">
        <f ca="1">IFERROR(__xludf.DUMMYFUNCTION("GoogleFinance(A26, ""name"")"),"Allstate Corp")</f>
        <v>Allstate Corp</v>
      </c>
      <c r="C26" s="15">
        <f ca="1">IFERROR(__xludf.DUMMYFUNCTION("GoogleFinance(A26, ""price"")"),173.01)</f>
        <v>173.01</v>
      </c>
      <c r="D26" s="6">
        <f ca="1">IFERROR(__xludf.DUMMYFUNCTION("GoogleFinance(A26, ""eps"")"),-1.2)</f>
        <v>-1.2</v>
      </c>
      <c r="E26" s="6" t="str">
        <f ca="1">IFERROR(__xludf.DUMMYFUNCTION("GOOGLEFINANCE(A26,""pe"")"),"#N/A")</f>
        <v>#N/A</v>
      </c>
      <c r="F26" s="6">
        <f ca="1">IFERROR(__xludf.DUMMYFUNCTION("GoogleFinance(A26, ""beta"")"),0.51)</f>
        <v>0.51</v>
      </c>
      <c r="G26" s="13">
        <f ca="1">IFERROR(__xludf.DUMMYFUNCTION("GOOGLEFINANCE(A26,""shares"")"),263067000)</f>
        <v>263067000</v>
      </c>
      <c r="H26" s="10">
        <f ca="1">IFERROR(__xludf.DUMMYFUNCTION("GOOGLEFINANCE(A26,""marketcap"")"),45513289428)</f>
        <v>45513289428</v>
      </c>
      <c r="I26" s="13">
        <f ca="1">IFERROR(__xludf.DUMMYFUNCTION("GOOGLEFINANCE(A26,""volume"")"),1735774)</f>
        <v>1735774</v>
      </c>
      <c r="J26" s="13">
        <f ca="1">IFERROR(__xludf.DUMMYFUNCTION("GOOGLEFINANCE(A26,""volumeavg"")"),1905699)</f>
        <v>1905699</v>
      </c>
      <c r="K26" s="15">
        <f ca="1">IFERROR(__xludf.DUMMYFUNCTION("GOOGLEFINANCE(A26,""high52"")"),173.47)</f>
        <v>173.47</v>
      </c>
      <c r="L26" s="15">
        <f ca="1">IFERROR(__xludf.DUMMYFUNCTION("GOOGLEFINANCE(A26,""low52"")"),100.57)</f>
        <v>100.57</v>
      </c>
      <c r="M26" s="7">
        <f t="shared" ca="1" si="0"/>
        <v>45379.717931597224</v>
      </c>
    </row>
    <row r="27" spans="1:13">
      <c r="A27" s="4" t="s">
        <v>38</v>
      </c>
      <c r="B27" s="5" t="str">
        <f ca="1">IFERROR(__xludf.DUMMYFUNCTION("GoogleFinance(A27, ""name"")"),"Allegion PLC")</f>
        <v>Allegion PLC</v>
      </c>
      <c r="C27" s="15">
        <f ca="1">IFERROR(__xludf.DUMMYFUNCTION("GoogleFinance(A27, ""price"")"),134.71)</f>
        <v>134.71</v>
      </c>
      <c r="D27" s="6">
        <f ca="1">IFERROR(__xludf.DUMMYFUNCTION("GoogleFinance(A27, ""eps"")"),6.12)</f>
        <v>6.12</v>
      </c>
      <c r="E27" s="6">
        <f ca="1">IFERROR(__xludf.DUMMYFUNCTION("GOOGLEFINANCE(A27,""pe"")"),22.01)</f>
        <v>22.01</v>
      </c>
      <c r="F27" s="6">
        <f ca="1">IFERROR(__xludf.DUMMYFUNCTION("GoogleFinance(A27, ""beta"")"),1.13)</f>
        <v>1.1299999999999999</v>
      </c>
      <c r="G27" s="13">
        <f ca="1">IFERROR(__xludf.DUMMYFUNCTION("GOOGLEFINANCE(A27,""shares"")"),87554000)</f>
        <v>87554000</v>
      </c>
      <c r="H27" s="10">
        <f ca="1">IFERROR(__xludf.DUMMYFUNCTION("GOOGLEFINANCE(A27,""marketcap"")"),11794451117)</f>
        <v>11794451117</v>
      </c>
      <c r="I27" s="13">
        <f ca="1">IFERROR(__xludf.DUMMYFUNCTION("GOOGLEFINANCE(A27,""volume"")"),341217)</f>
        <v>341217</v>
      </c>
      <c r="J27" s="13">
        <f ca="1">IFERROR(__xludf.DUMMYFUNCTION("GOOGLEFINANCE(A27,""volumeavg"")"),889407)</f>
        <v>889407</v>
      </c>
      <c r="K27" s="15">
        <f ca="1">IFERROR(__xludf.DUMMYFUNCTION("GOOGLEFINANCE(A27,""high52"")"),136.91)</f>
        <v>136.91</v>
      </c>
      <c r="L27" s="15">
        <f ca="1">IFERROR(__xludf.DUMMYFUNCTION("GOOGLEFINANCE(A27,""low52"")"),95.94)</f>
        <v>95.94</v>
      </c>
      <c r="M27" s="7">
        <f t="shared" ca="1" si="0"/>
        <v>45379.717931597224</v>
      </c>
    </row>
    <row r="28" spans="1:13">
      <c r="A28" s="4" t="s">
        <v>39</v>
      </c>
      <c r="B28" s="5" t="str">
        <f ca="1">IFERROR(__xludf.DUMMYFUNCTION("GoogleFinance(A28, ""name"")"),"Applied Materials, Inc.")</f>
        <v>Applied Materials, Inc.</v>
      </c>
      <c r="C28" s="15">
        <f ca="1">IFERROR(__xludf.DUMMYFUNCTION("GoogleFinance(A28, ""price"")"),206.23)</f>
        <v>206.23</v>
      </c>
      <c r="D28" s="6">
        <f ca="1">IFERROR(__xludf.DUMMYFUNCTION("GoogleFinance(A28, ""eps"")"),8.5)</f>
        <v>8.5</v>
      </c>
      <c r="E28" s="6">
        <f ca="1">IFERROR(__xludf.DUMMYFUNCTION("GOOGLEFINANCE(A28,""pe"")"),24.26)</f>
        <v>24.26</v>
      </c>
      <c r="F28" s="6">
        <f ca="1">IFERROR(__xludf.DUMMYFUNCTION("GoogleFinance(A28, ""beta"")"),1.6)</f>
        <v>1.6</v>
      </c>
      <c r="G28" s="13">
        <f ca="1">IFERROR(__xludf.DUMMYFUNCTION("GOOGLEFINANCE(A28,""shares"")"),830897000)</f>
        <v>830897000</v>
      </c>
      <c r="H28" s="10">
        <f ca="1">IFERROR(__xludf.DUMMYFUNCTION("GOOGLEFINANCE(A28,""marketcap"")"),171355987875)</f>
        <v>171355987875</v>
      </c>
      <c r="I28" s="13">
        <f ca="1">IFERROR(__xludf.DUMMYFUNCTION("GOOGLEFINANCE(A28,""volume"")"),5749863)</f>
        <v>5749863</v>
      </c>
      <c r="J28" s="13">
        <f ca="1">IFERROR(__xludf.DUMMYFUNCTION("GOOGLEFINANCE(A28,""volumeavg"")"),6631306)</f>
        <v>6631306</v>
      </c>
      <c r="K28" s="15">
        <f ca="1">IFERROR(__xludf.DUMMYFUNCTION("GOOGLEFINANCE(A28,""high52"")"),214.91)</f>
        <v>214.91</v>
      </c>
      <c r="L28" s="15">
        <f ca="1">IFERROR(__xludf.DUMMYFUNCTION("GOOGLEFINANCE(A28,""low52"")"),109)</f>
        <v>109</v>
      </c>
      <c r="M28" s="7">
        <f t="shared" ca="1" si="0"/>
        <v>45379.717931597224</v>
      </c>
    </row>
    <row r="29" spans="1:13">
      <c r="A29" s="4" t="s">
        <v>40</v>
      </c>
      <c r="B29" s="5" t="str">
        <f ca="1">IFERROR(__xludf.DUMMYFUNCTION("GoogleFinance(A29, ""name"")"),"Amcor PLC")</f>
        <v>Amcor PLC</v>
      </c>
      <c r="C29" s="15">
        <f ca="1">IFERROR(__xludf.DUMMYFUNCTION("GoogleFinance(A29, ""price"")"),9.51)</f>
        <v>9.51</v>
      </c>
      <c r="D29" s="6">
        <f ca="1">IFERROR(__xludf.DUMMYFUNCTION("GoogleFinance(A29, ""eps"")"),0.44)</f>
        <v>0.44</v>
      </c>
      <c r="E29" s="6">
        <f ca="1">IFERROR(__xludf.DUMMYFUNCTION("GOOGLEFINANCE(A29,""pe"")"),21.58)</f>
        <v>21.58</v>
      </c>
      <c r="F29" s="6">
        <f ca="1">IFERROR(__xludf.DUMMYFUNCTION("GoogleFinance(A29, ""beta"")"),0.82)</f>
        <v>0.82</v>
      </c>
      <c r="G29" s="13">
        <f ca="1">IFERROR(__xludf.DUMMYFUNCTION("GOOGLEFINANCE(A29,""shares"")"),1445343000)</f>
        <v>1445343000</v>
      </c>
      <c r="H29" s="10">
        <f ca="1">IFERROR(__xludf.DUMMYFUNCTION("GOOGLEFINANCE(A29,""marketcap"")"),13745202750)</f>
        <v>13745202750</v>
      </c>
      <c r="I29" s="13">
        <f ca="1">IFERROR(__xludf.DUMMYFUNCTION("GOOGLEFINANCE(A29,""volume"")"),6440882)</f>
        <v>6440882</v>
      </c>
      <c r="J29" s="13">
        <f ca="1">IFERROR(__xludf.DUMMYFUNCTION("GOOGLEFINANCE(A29,""volumeavg"")"),8890573)</f>
        <v>8890573</v>
      </c>
      <c r="K29" s="15">
        <f ca="1">IFERROR(__xludf.DUMMYFUNCTION("GOOGLEFINANCE(A29,""high52"")"),11.39)</f>
        <v>11.39</v>
      </c>
      <c r="L29" s="15">
        <f ca="1">IFERROR(__xludf.DUMMYFUNCTION("GOOGLEFINANCE(A29,""low52"")"),8.45)</f>
        <v>8.4499999999999993</v>
      </c>
      <c r="M29" s="7">
        <f t="shared" ca="1" si="0"/>
        <v>45379.717931597224</v>
      </c>
    </row>
    <row r="30" spans="1:13">
      <c r="A30" s="4" t="s">
        <v>41</v>
      </c>
      <c r="B30" s="5" t="str">
        <f ca="1">IFERROR(__xludf.DUMMYFUNCTION("GoogleFinance(A30, ""name"")"),"Advanced Micro Devices, Inc.")</f>
        <v>Advanced Micro Devices, Inc.</v>
      </c>
      <c r="C30" s="15">
        <f ca="1">IFERROR(__xludf.DUMMYFUNCTION("GoogleFinance(A30, ""price"")"),180.49)</f>
        <v>180.49</v>
      </c>
      <c r="D30" s="6">
        <f ca="1">IFERROR(__xludf.DUMMYFUNCTION("GoogleFinance(A30, ""eps"")"),0.53)</f>
        <v>0.53</v>
      </c>
      <c r="E30" s="6">
        <f ca="1">IFERROR(__xludf.DUMMYFUNCTION("GOOGLEFINANCE(A30,""pe"")"),343.44)</f>
        <v>343.44</v>
      </c>
      <c r="F30" s="6">
        <f ca="1">IFERROR(__xludf.DUMMYFUNCTION("GoogleFinance(A30, ""beta"")"),1.66)</f>
        <v>1.66</v>
      </c>
      <c r="G30" s="13">
        <f ca="1">IFERROR(__xludf.DUMMYFUNCTION("GOOGLEFINANCE(A30,""shares"")"),1615787000)</f>
        <v>1615787000</v>
      </c>
      <c r="H30" s="10">
        <f ca="1">IFERROR(__xludf.DUMMYFUNCTION("GOOGLEFINANCE(A30,""marketcap"")"),291697117477)</f>
        <v>291697117477</v>
      </c>
      <c r="I30" s="13">
        <f ca="1">IFERROR(__xludf.DUMMYFUNCTION("GOOGLEFINANCE(A30,""volume"")"),57618239)</f>
        <v>57618239</v>
      </c>
      <c r="J30" s="13">
        <f ca="1">IFERROR(__xludf.DUMMYFUNCTION("GOOGLEFINANCE(A30,""volumeavg"")"),72114684)</f>
        <v>72114684</v>
      </c>
      <c r="K30" s="15">
        <f ca="1">IFERROR(__xludf.DUMMYFUNCTION("GOOGLEFINANCE(A30,""high52"")"),227.3)</f>
        <v>227.3</v>
      </c>
      <c r="L30" s="15">
        <f ca="1">IFERROR(__xludf.DUMMYFUNCTION("GOOGLEFINANCE(A30,""low52"")"),81.02)</f>
        <v>81.02</v>
      </c>
      <c r="M30" s="7">
        <f t="shared" ca="1" si="0"/>
        <v>45379.717931597224</v>
      </c>
    </row>
    <row r="31" spans="1:13">
      <c r="A31" s="4" t="s">
        <v>42</v>
      </c>
      <c r="B31" s="5" t="str">
        <f ca="1">IFERROR(__xludf.DUMMYFUNCTION("GoogleFinance(A31, ""name"")"),"Ametek Inc")</f>
        <v>Ametek Inc</v>
      </c>
      <c r="C31" s="15">
        <f ca="1">IFERROR(__xludf.DUMMYFUNCTION("GoogleFinance(A31, ""price"")"),182.9)</f>
        <v>182.9</v>
      </c>
      <c r="D31" s="6">
        <f ca="1">IFERROR(__xludf.DUMMYFUNCTION("GoogleFinance(A31, ""eps"")"),5.67)</f>
        <v>5.67</v>
      </c>
      <c r="E31" s="6">
        <f ca="1">IFERROR(__xludf.DUMMYFUNCTION("GOOGLEFINANCE(A31,""pe"")"),32.24)</f>
        <v>32.24</v>
      </c>
      <c r="F31" s="6">
        <f ca="1">IFERROR(__xludf.DUMMYFUNCTION("GoogleFinance(A31, ""beta"")"),1.22)</f>
        <v>1.22</v>
      </c>
      <c r="G31" s="13">
        <f ca="1">IFERROR(__xludf.DUMMYFUNCTION("GOOGLEFINANCE(A31,""shares"")"),231013000)</f>
        <v>231013000</v>
      </c>
      <c r="H31" s="10">
        <f ca="1">IFERROR(__xludf.DUMMYFUNCTION("GOOGLEFINANCE(A31,""marketcap"")"),42288581938)</f>
        <v>42288581938</v>
      </c>
      <c r="I31" s="13">
        <f ca="1">IFERROR(__xludf.DUMMYFUNCTION("GOOGLEFINANCE(A31,""volume"")"),1043545)</f>
        <v>1043545</v>
      </c>
      <c r="J31" s="13">
        <f ca="1">IFERROR(__xludf.DUMMYFUNCTION("GOOGLEFINANCE(A31,""volumeavg"")"),965592)</f>
        <v>965592</v>
      </c>
      <c r="K31" s="15">
        <f ca="1">IFERROR(__xludf.DUMMYFUNCTION("GOOGLEFINANCE(A31,""high52"")"),186.33)</f>
        <v>186.33</v>
      </c>
      <c r="L31" s="15">
        <f ca="1">IFERROR(__xludf.DUMMYFUNCTION("GOOGLEFINANCE(A31,""low52"")"),133.12)</f>
        <v>133.12</v>
      </c>
      <c r="M31" s="7">
        <f t="shared" ca="1" si="0"/>
        <v>45379.717931597224</v>
      </c>
    </row>
    <row r="32" spans="1:13">
      <c r="A32" s="4" t="s">
        <v>43</v>
      </c>
      <c r="B32" s="5" t="str">
        <f ca="1">IFERROR(__xludf.DUMMYFUNCTION("GoogleFinance(A32, ""name"")"),"Amgen Inc")</f>
        <v>Amgen Inc</v>
      </c>
      <c r="C32" s="15">
        <f ca="1">IFERROR(__xludf.DUMMYFUNCTION("GoogleFinance(A32, ""price"")"),284.32)</f>
        <v>284.32</v>
      </c>
      <c r="D32" s="6">
        <f ca="1">IFERROR(__xludf.DUMMYFUNCTION("GoogleFinance(A32, ""eps"")"),12.49)</f>
        <v>12.49</v>
      </c>
      <c r="E32" s="6">
        <f ca="1">IFERROR(__xludf.DUMMYFUNCTION("GOOGLEFINANCE(A32,""pe"")"),22.77)</f>
        <v>22.77</v>
      </c>
      <c r="F32" s="6">
        <f ca="1">IFERROR(__xludf.DUMMYFUNCTION("GoogleFinance(A32, ""beta"")"),0.58)</f>
        <v>0.57999999999999996</v>
      </c>
      <c r="G32" s="13">
        <f ca="1">IFERROR(__xludf.DUMMYFUNCTION("GOOGLEFINANCE(A32,""shares"")"),535919000)</f>
        <v>535919000</v>
      </c>
      <c r="H32" s="10">
        <f ca="1">IFERROR(__xludf.DUMMYFUNCTION("GOOGLEFINANCE(A32,""marketcap"")"),152372465573)</f>
        <v>152372465573</v>
      </c>
      <c r="I32" s="13">
        <f ca="1">IFERROR(__xludf.DUMMYFUNCTION("GOOGLEFINANCE(A32,""volume"")"),2289919)</f>
        <v>2289919</v>
      </c>
      <c r="J32" s="13">
        <f ca="1">IFERROR(__xludf.DUMMYFUNCTION("GOOGLEFINANCE(A32,""volumeavg"")"),3062198)</f>
        <v>3062198</v>
      </c>
      <c r="K32" s="15">
        <f ca="1">IFERROR(__xludf.DUMMYFUNCTION("GOOGLEFINANCE(A32,""high52"")"),329.72)</f>
        <v>329.72</v>
      </c>
      <c r="L32" s="15">
        <f ca="1">IFERROR(__xludf.DUMMYFUNCTION("GOOGLEFINANCE(A32,""low52"")"),211.71)</f>
        <v>211.71</v>
      </c>
      <c r="M32" s="7">
        <f t="shared" ca="1" si="0"/>
        <v>45379.717931597224</v>
      </c>
    </row>
    <row r="33" spans="1:13">
      <c r="A33" s="4" t="s">
        <v>44</v>
      </c>
      <c r="B33" s="5" t="str">
        <f ca="1">IFERROR(__xludf.DUMMYFUNCTION("GoogleFinance(A33, ""name"")"),"Ameriprise Financial, Inc.")</f>
        <v>Ameriprise Financial, Inc.</v>
      </c>
      <c r="C33" s="15">
        <f ca="1">IFERROR(__xludf.DUMMYFUNCTION("GoogleFinance(A33, ""price"")"),438.44)</f>
        <v>438.44</v>
      </c>
      <c r="D33" s="6">
        <f ca="1">IFERROR(__xludf.DUMMYFUNCTION("GoogleFinance(A33, ""eps"")"),23.71)</f>
        <v>23.71</v>
      </c>
      <c r="E33" s="6">
        <f ca="1">IFERROR(__xludf.DUMMYFUNCTION("GOOGLEFINANCE(A33,""pe"")"),18.49)</f>
        <v>18.489999999999998</v>
      </c>
      <c r="F33" s="6">
        <f ca="1">IFERROR(__xludf.DUMMYFUNCTION("GoogleFinance(A33, ""beta"")"),1.36)</f>
        <v>1.36</v>
      </c>
      <c r="G33" s="13">
        <f ca="1">IFERROR(__xludf.DUMMYFUNCTION("GOOGLEFINANCE(A33,""shares"")"),100191000)</f>
        <v>100191000</v>
      </c>
      <c r="H33" s="10">
        <f ca="1">IFERROR(__xludf.DUMMYFUNCTION("GOOGLEFINANCE(A33,""marketcap"")"),43927698440)</f>
        <v>43927698440</v>
      </c>
      <c r="I33" s="13">
        <f ca="1">IFERROR(__xludf.DUMMYFUNCTION("GOOGLEFINANCE(A33,""volume"")"),446250)</f>
        <v>446250</v>
      </c>
      <c r="J33" s="13">
        <f ca="1">IFERROR(__xludf.DUMMYFUNCTION("GOOGLEFINANCE(A33,""volumeavg"")"),473949)</f>
        <v>473949</v>
      </c>
      <c r="K33" s="15">
        <f ca="1">IFERROR(__xludf.DUMMYFUNCTION("GOOGLEFINANCE(A33,""high52"")"),440.64)</f>
        <v>440.64</v>
      </c>
      <c r="L33" s="15">
        <f ca="1">IFERROR(__xludf.DUMMYFUNCTION("GOOGLEFINANCE(A33,""low52"")"),279.85)</f>
        <v>279.85000000000002</v>
      </c>
      <c r="M33" s="7">
        <f t="shared" ca="1" si="0"/>
        <v>45379.717931597224</v>
      </c>
    </row>
    <row r="34" spans="1:13">
      <c r="A34" s="4" t="s">
        <v>45</v>
      </c>
      <c r="B34" s="5" t="str">
        <f ca="1">IFERROR(__xludf.DUMMYFUNCTION("GoogleFinance(A34, ""name"")"),"American Tower Corp")</f>
        <v>American Tower Corp</v>
      </c>
      <c r="C34" s="15">
        <f ca="1">IFERROR(__xludf.DUMMYFUNCTION("GoogleFinance(A34, ""price"")"),197.59)</f>
        <v>197.59</v>
      </c>
      <c r="D34" s="6">
        <f ca="1">IFERROR(__xludf.DUMMYFUNCTION("GoogleFinance(A34, ""eps"")"),3.18)</f>
        <v>3.18</v>
      </c>
      <c r="E34" s="6">
        <f ca="1">IFERROR(__xludf.DUMMYFUNCTION("GOOGLEFINANCE(A34,""pe"")"),62.23)</f>
        <v>62.23</v>
      </c>
      <c r="F34" s="6">
        <f ca="1">IFERROR(__xludf.DUMMYFUNCTION("GoogleFinance(A34, ""beta"")"),0.69)</f>
        <v>0.69</v>
      </c>
      <c r="G34" s="13">
        <f ca="1">IFERROR(__xludf.DUMMYFUNCTION("GOOGLEFINANCE(A34,""shares"")"),466352000)</f>
        <v>466352000</v>
      </c>
      <c r="H34" s="10">
        <f ca="1">IFERROR(__xludf.DUMMYFUNCTION("GOOGLEFINANCE(A34,""marketcap"")"),92146529490)</f>
        <v>92146529490</v>
      </c>
      <c r="I34" s="13">
        <f ca="1">IFERROR(__xludf.DUMMYFUNCTION("GOOGLEFINANCE(A34,""volume"")"),2170518)</f>
        <v>2170518</v>
      </c>
      <c r="J34" s="13">
        <f ca="1">IFERROR(__xludf.DUMMYFUNCTION("GOOGLEFINANCE(A34,""volumeavg"")"),2454873)</f>
        <v>2454873</v>
      </c>
      <c r="K34" s="15">
        <f ca="1">IFERROR(__xludf.DUMMYFUNCTION("GOOGLEFINANCE(A34,""high52"")"),219.1)</f>
        <v>219.1</v>
      </c>
      <c r="L34" s="15">
        <f ca="1">IFERROR(__xludf.DUMMYFUNCTION("GOOGLEFINANCE(A34,""low52"")"),154.58)</f>
        <v>154.58000000000001</v>
      </c>
      <c r="M34" s="7">
        <f t="shared" ca="1" si="0"/>
        <v>45379.717931597224</v>
      </c>
    </row>
    <row r="35" spans="1:13">
      <c r="A35" s="4" t="s">
        <v>46</v>
      </c>
      <c r="B35" s="5" t="str">
        <f ca="1">IFERROR(__xludf.DUMMYFUNCTION("GoogleFinance(A35, ""name"")"),"Amazon.com Inc")</f>
        <v>Amazon.com Inc</v>
      </c>
      <c r="C35" s="15">
        <f ca="1">IFERROR(__xludf.DUMMYFUNCTION("GoogleFinance(A35, ""price"")"),180.38)</f>
        <v>180.38</v>
      </c>
      <c r="D35" s="6">
        <f ca="1">IFERROR(__xludf.DUMMYFUNCTION("GoogleFinance(A35, ""eps"")"),2.9)</f>
        <v>2.9</v>
      </c>
      <c r="E35" s="6">
        <f ca="1">IFERROR(__xludf.DUMMYFUNCTION("GOOGLEFINANCE(A35,""pe"")"),62.2)</f>
        <v>62.2</v>
      </c>
      <c r="F35" s="6">
        <f ca="1">IFERROR(__xludf.DUMMYFUNCTION("GoogleFinance(A35, ""beta"")"),1.17)</f>
        <v>1.17</v>
      </c>
      <c r="G35" s="13">
        <f ca="1">IFERROR(__xludf.DUMMYFUNCTION("GOOGLEFINANCE(A35,""shares"")"),10387380000)</f>
        <v>10387380000</v>
      </c>
      <c r="H35" s="10">
        <f ca="1">IFERROR(__xludf.DUMMYFUNCTION("GOOGLEFINANCE(A35,""marketcap"")"),1873675655119)</f>
        <v>1873675655119</v>
      </c>
      <c r="I35" s="13">
        <f ca="1">IFERROR(__xludf.DUMMYFUNCTION("GOOGLEFINANCE(A35,""volume"")"),38041963)</f>
        <v>38041963</v>
      </c>
      <c r="J35" s="13">
        <f ca="1">IFERROR(__xludf.DUMMYFUNCTION("GOOGLEFINANCE(A35,""volumeavg"")"),38659578)</f>
        <v>38659578</v>
      </c>
      <c r="K35" s="15">
        <f ca="1">IFERROR(__xludf.DUMMYFUNCTION("GOOGLEFINANCE(A35,""high52"")"),181.7)</f>
        <v>181.7</v>
      </c>
      <c r="L35" s="15">
        <f ca="1">IFERROR(__xludf.DUMMYFUNCTION("GOOGLEFINANCE(A35,""low52"")"),97.71)</f>
        <v>97.71</v>
      </c>
      <c r="M35" s="7">
        <f t="shared" ca="1" si="0"/>
        <v>45379.717931597224</v>
      </c>
    </row>
    <row r="36" spans="1:13">
      <c r="A36" s="4" t="s">
        <v>47</v>
      </c>
      <c r="B36" s="5" t="str">
        <f ca="1">IFERROR(__xludf.DUMMYFUNCTION("GoogleFinance(A36, ""name"")"),"Arista Networks Inc")</f>
        <v>Arista Networks Inc</v>
      </c>
      <c r="C36" s="15">
        <f ca="1">IFERROR(__xludf.DUMMYFUNCTION("GoogleFinance(A36, ""price"")"),289.98)</f>
        <v>289.98</v>
      </c>
      <c r="D36" s="6">
        <f ca="1">IFERROR(__xludf.DUMMYFUNCTION("GoogleFinance(A36, ""eps"")"),6.58)</f>
        <v>6.58</v>
      </c>
      <c r="E36" s="6">
        <f ca="1">IFERROR(__xludf.DUMMYFUNCTION("GOOGLEFINANCE(A36,""pe"")"),44.06)</f>
        <v>44.06</v>
      </c>
      <c r="F36" s="6">
        <f ca="1">IFERROR(__xludf.DUMMYFUNCTION("GoogleFinance(A36, ""beta"")"),1.1)</f>
        <v>1.1000000000000001</v>
      </c>
      <c r="G36" s="13">
        <f ca="1">IFERROR(__xludf.DUMMYFUNCTION("GOOGLEFINANCE(A36,""shares"")"),312634000)</f>
        <v>312634000</v>
      </c>
      <c r="H36" s="10">
        <f ca="1">IFERROR(__xludf.DUMMYFUNCTION("GOOGLEFINANCE(A36,""marketcap"")"),90657494762)</f>
        <v>90657494762</v>
      </c>
      <c r="I36" s="13">
        <f ca="1">IFERROR(__xludf.DUMMYFUNCTION("GOOGLEFINANCE(A36,""volume"")"),1839380)</f>
        <v>1839380</v>
      </c>
      <c r="J36" s="13">
        <f ca="1">IFERROR(__xludf.DUMMYFUNCTION("GOOGLEFINANCE(A36,""volumeavg"")"),2688517)</f>
        <v>2688517</v>
      </c>
      <c r="K36" s="15">
        <f ca="1">IFERROR(__xludf.DUMMYFUNCTION("GOOGLEFINANCE(A36,""high52"")"),307.74)</f>
        <v>307.74</v>
      </c>
      <c r="L36" s="15">
        <f ca="1">IFERROR(__xludf.DUMMYFUNCTION("GOOGLEFINANCE(A36,""low52"")"),131.68)</f>
        <v>131.68</v>
      </c>
      <c r="M36" s="7">
        <f t="shared" ca="1" si="0"/>
        <v>45379.717931597224</v>
      </c>
    </row>
    <row r="37" spans="1:13">
      <c r="A37" s="4" t="s">
        <v>48</v>
      </c>
      <c r="B37" s="5" t="str">
        <f ca="1">IFERROR(__xludf.DUMMYFUNCTION("GoogleFinance(A37, ""name"")"),"ANSYS Inc")</f>
        <v>ANSYS Inc</v>
      </c>
      <c r="C37" s="15">
        <f ca="1">IFERROR(__xludf.DUMMYFUNCTION("GoogleFinance(A37, ""price"")"),347.16)</f>
        <v>347.16</v>
      </c>
      <c r="D37" s="6">
        <f ca="1">IFERROR(__xludf.DUMMYFUNCTION("GoogleFinance(A37, ""eps"")"),5.73)</f>
        <v>5.73</v>
      </c>
      <c r="E37" s="6">
        <f ca="1">IFERROR(__xludf.DUMMYFUNCTION("GOOGLEFINANCE(A37,""pe"")"),60.62)</f>
        <v>60.62</v>
      </c>
      <c r="F37" s="6">
        <f ca="1">IFERROR(__xludf.DUMMYFUNCTION("GoogleFinance(A37, ""beta"")"),1.16)</f>
        <v>1.1599999999999999</v>
      </c>
      <c r="G37" s="13">
        <f ca="1">IFERROR(__xludf.DUMMYFUNCTION("GOOGLEFINANCE(A37,""shares"")"),87018000)</f>
        <v>87018000</v>
      </c>
      <c r="H37" s="10">
        <f ca="1">IFERROR(__xludf.DUMMYFUNCTION("GOOGLEFINANCE(A37,""marketcap"")"),30209103238)</f>
        <v>30209103238</v>
      </c>
      <c r="I37" s="13">
        <f ca="1">IFERROR(__xludf.DUMMYFUNCTION("GOOGLEFINANCE(A37,""volume"")"),432947)</f>
        <v>432947</v>
      </c>
      <c r="J37" s="13">
        <f ca="1">IFERROR(__xludf.DUMMYFUNCTION("GOOGLEFINANCE(A37,""volumeavg"")"),510962)</f>
        <v>510962</v>
      </c>
      <c r="K37" s="15">
        <f ca="1">IFERROR(__xludf.DUMMYFUNCTION("GOOGLEFINANCE(A37,""high52"")"),364.31)</f>
        <v>364.31</v>
      </c>
      <c r="L37" s="15">
        <f ca="1">IFERROR(__xludf.DUMMYFUNCTION("GOOGLEFINANCE(A37,""low52"")"),258.01)</f>
        <v>258.01</v>
      </c>
      <c r="M37" s="7">
        <f t="shared" ca="1" si="0"/>
        <v>45379.717931597224</v>
      </c>
    </row>
    <row r="38" spans="1:13">
      <c r="A38" s="4" t="s">
        <v>49</v>
      </c>
      <c r="B38" s="5" t="str">
        <f ca="1">IFERROR(__xludf.DUMMYFUNCTION("GoogleFinance(A38, ""name"")"),"Aon PLC")</f>
        <v>Aon PLC</v>
      </c>
      <c r="C38" s="15">
        <f ca="1">IFERROR(__xludf.DUMMYFUNCTION("GoogleFinance(A38, ""price"")"),333.72)</f>
        <v>333.72</v>
      </c>
      <c r="D38" s="6">
        <f ca="1">IFERROR(__xludf.DUMMYFUNCTION("GoogleFinance(A38, ""eps"")"),12.51)</f>
        <v>12.51</v>
      </c>
      <c r="E38" s="6">
        <f ca="1">IFERROR(__xludf.DUMMYFUNCTION("GOOGLEFINANCE(A38,""pe"")"),26.68)</f>
        <v>26.68</v>
      </c>
      <c r="F38" s="6">
        <f ca="1">IFERROR(__xludf.DUMMYFUNCTION("GoogleFinance(A38, ""beta"")"),0.86)</f>
        <v>0.86</v>
      </c>
      <c r="G38" s="13">
        <f ca="1">IFERROR(__xludf.DUMMYFUNCTION("GOOGLEFINANCE(A38,""shares"")"),198298000)</f>
        <v>198298000</v>
      </c>
      <c r="H38" s="10">
        <f ca="1">IFERROR(__xludf.DUMMYFUNCTION("GOOGLEFINANCE(A38,""marketcap"")"),66175908686)</f>
        <v>66175908686</v>
      </c>
      <c r="I38" s="13">
        <f ca="1">IFERROR(__xludf.DUMMYFUNCTION("GOOGLEFINANCE(A38,""volume"")"),732091)</f>
        <v>732091</v>
      </c>
      <c r="J38" s="13">
        <f ca="1">IFERROR(__xludf.DUMMYFUNCTION("GOOGLEFINANCE(A38,""volumeavg"")"),805653)</f>
        <v>805653</v>
      </c>
      <c r="K38" s="15">
        <f ca="1">IFERROR(__xludf.DUMMYFUNCTION("GOOGLEFINANCE(A38,""high52"")"),347.37)</f>
        <v>347.37</v>
      </c>
      <c r="L38" s="15">
        <f ca="1">IFERROR(__xludf.DUMMYFUNCTION("GOOGLEFINANCE(A38,""low52"")"),285)</f>
        <v>285</v>
      </c>
      <c r="M38" s="7">
        <f t="shared" ca="1" si="0"/>
        <v>45379.717931597224</v>
      </c>
    </row>
    <row r="39" spans="1:13">
      <c r="A39" s="4" t="s">
        <v>50</v>
      </c>
      <c r="B39" s="5" t="str">
        <f ca="1">IFERROR(__xludf.DUMMYFUNCTION("GoogleFinance(A39, ""name"")"),"A O Smith Corp")</f>
        <v>A O Smith Corp</v>
      </c>
      <c r="C39" s="15">
        <f ca="1">IFERROR(__xludf.DUMMYFUNCTION("GoogleFinance(A39, ""price"")"),89.46)</f>
        <v>89.46</v>
      </c>
      <c r="D39" s="6">
        <f ca="1">IFERROR(__xludf.DUMMYFUNCTION("GoogleFinance(A39, ""eps"")"),3.69)</f>
        <v>3.69</v>
      </c>
      <c r="E39" s="6">
        <f ca="1">IFERROR(__xludf.DUMMYFUNCTION("GOOGLEFINANCE(A39,""pe"")"),24.27)</f>
        <v>24.27</v>
      </c>
      <c r="F39" s="6">
        <f ca="1">IFERROR(__xludf.DUMMYFUNCTION("GoogleFinance(A39, ""beta"")"),1.25)</f>
        <v>1.25</v>
      </c>
      <c r="G39" s="13">
        <f ca="1">IFERROR(__xludf.DUMMYFUNCTION("GOOGLEFINANCE(A39,""shares"")"),121308000)</f>
        <v>121308000</v>
      </c>
      <c r="H39" s="10">
        <f ca="1">IFERROR(__xludf.DUMMYFUNCTION("GOOGLEFINANCE(A39,""marketcap"")"),13167921429)</f>
        <v>13167921429</v>
      </c>
      <c r="I39" s="13">
        <f ca="1">IFERROR(__xludf.DUMMYFUNCTION("GOOGLEFINANCE(A39,""volume"")"),1003652)</f>
        <v>1003652</v>
      </c>
      <c r="J39" s="13">
        <f ca="1">IFERROR(__xludf.DUMMYFUNCTION("GOOGLEFINANCE(A39,""volumeavg"")"),923555)</f>
        <v>923555</v>
      </c>
      <c r="K39" s="15">
        <f ca="1">IFERROR(__xludf.DUMMYFUNCTION("GOOGLEFINANCE(A39,""high52"")"),89.96)</f>
        <v>89.96</v>
      </c>
      <c r="L39" s="15">
        <f ca="1">IFERROR(__xludf.DUMMYFUNCTION("GOOGLEFINANCE(A39,""low52"")"),63.4)</f>
        <v>63.4</v>
      </c>
      <c r="M39" s="7">
        <f t="shared" ca="1" si="0"/>
        <v>45379.717931597224</v>
      </c>
    </row>
    <row r="40" spans="1:13">
      <c r="A40" s="4" t="s">
        <v>51</v>
      </c>
      <c r="B40" s="5" t="str">
        <f ca="1">IFERROR(__xludf.DUMMYFUNCTION("GoogleFinance(A40, ""name"")"),"APA Corp (US)")</f>
        <v>APA Corp (US)</v>
      </c>
      <c r="C40" s="15">
        <f ca="1">IFERROR(__xludf.DUMMYFUNCTION("GoogleFinance(A40, ""price"")"),34.38)</f>
        <v>34.380000000000003</v>
      </c>
      <c r="D40" s="6">
        <f ca="1">IFERROR(__xludf.DUMMYFUNCTION("GoogleFinance(A40, ""eps"")"),9.24)</f>
        <v>9.24</v>
      </c>
      <c r="E40" s="6">
        <f ca="1">IFERROR(__xludf.DUMMYFUNCTION("GOOGLEFINANCE(A40,""pe"")"),3.72)</f>
        <v>3.72</v>
      </c>
      <c r="F40" s="6">
        <f ca="1">IFERROR(__xludf.DUMMYFUNCTION("GoogleFinance(A40, ""beta"")"),3.31)</f>
        <v>3.31</v>
      </c>
      <c r="G40" s="13">
        <f ca="1">IFERROR(__xludf.DUMMYFUNCTION("GOOGLEFINANCE(A40,""shares"")"),301553000)</f>
        <v>301553000</v>
      </c>
      <c r="H40" s="10">
        <f ca="1">IFERROR(__xludf.DUMMYFUNCTION("GOOGLEFINANCE(A40,""marketcap"")"),10367409652)</f>
        <v>10367409652</v>
      </c>
      <c r="I40" s="13">
        <f ca="1">IFERROR(__xludf.DUMMYFUNCTION("GOOGLEFINANCE(A40,""volume"")"),26801478)</f>
        <v>26801478</v>
      </c>
      <c r="J40" s="13">
        <f ca="1">IFERROR(__xludf.DUMMYFUNCTION("GOOGLEFINANCE(A40,""volumeavg"")"),7500675)</f>
        <v>7500675</v>
      </c>
      <c r="K40" s="15">
        <f ca="1">IFERROR(__xludf.DUMMYFUNCTION("GOOGLEFINANCE(A40,""high52"")"),46.15)</f>
        <v>46.15</v>
      </c>
      <c r="L40" s="15">
        <f ca="1">IFERROR(__xludf.DUMMYFUNCTION("GOOGLEFINANCE(A40,""low52"")"),29.47)</f>
        <v>29.47</v>
      </c>
      <c r="M40" s="7">
        <f t="shared" ca="1" si="0"/>
        <v>45379.717931597224</v>
      </c>
    </row>
    <row r="41" spans="1:13">
      <c r="A41" s="4" t="s">
        <v>52</v>
      </c>
      <c r="B41" s="5" t="str">
        <f ca="1">IFERROR(__xludf.DUMMYFUNCTION("GoogleFinance(A41, ""name"")"),"Air Products and Chemicals Inc")</f>
        <v>Air Products and Chemicals Inc</v>
      </c>
      <c r="C41" s="15">
        <f ca="1">IFERROR(__xludf.DUMMYFUNCTION("GoogleFinance(A41, ""price"")"),242.27)</f>
        <v>242.27</v>
      </c>
      <c r="D41" s="6">
        <f ca="1">IFERROR(__xludf.DUMMYFUNCTION("GoogleFinance(A41, ""eps"")"),10.49)</f>
        <v>10.49</v>
      </c>
      <c r="E41" s="6">
        <f ca="1">IFERROR(__xludf.DUMMYFUNCTION("GOOGLEFINANCE(A41,""pe"")"),23.09)</f>
        <v>23.09</v>
      </c>
      <c r="F41" s="6">
        <f ca="1">IFERROR(__xludf.DUMMYFUNCTION("GoogleFinance(A41, ""beta"")"),0.81)</f>
        <v>0.81</v>
      </c>
      <c r="G41" s="13">
        <f ca="1">IFERROR(__xludf.DUMMYFUNCTION("GOOGLEFINANCE(A41,""shares"")"),222301000)</f>
        <v>222301000</v>
      </c>
      <c r="H41" s="10">
        <f ca="1">IFERROR(__xludf.DUMMYFUNCTION("GOOGLEFINANCE(A41,""marketcap"")"),53856864219)</f>
        <v>53856864219</v>
      </c>
      <c r="I41" s="13">
        <f ca="1">IFERROR(__xludf.DUMMYFUNCTION("GOOGLEFINANCE(A41,""volume"")"),1439901)</f>
        <v>1439901</v>
      </c>
      <c r="J41" s="13">
        <f ca="1">IFERROR(__xludf.DUMMYFUNCTION("GOOGLEFINANCE(A41,""volumeavg"")"),1752987)</f>
        <v>1752987</v>
      </c>
      <c r="K41" s="15">
        <f ca="1">IFERROR(__xludf.DUMMYFUNCTION("GOOGLEFINANCE(A41,""high52"")"),307.71)</f>
        <v>307.70999999999998</v>
      </c>
      <c r="L41" s="15">
        <f ca="1">IFERROR(__xludf.DUMMYFUNCTION("GOOGLEFINANCE(A41,""low52"")"),212.24)</f>
        <v>212.24</v>
      </c>
      <c r="M41" s="7">
        <f t="shared" ca="1" si="0"/>
        <v>45379.717931597224</v>
      </c>
    </row>
    <row r="42" spans="1:13">
      <c r="A42" s="4" t="s">
        <v>53</v>
      </c>
      <c r="B42" s="5" t="str">
        <f ca="1">IFERROR(__xludf.DUMMYFUNCTION("GoogleFinance(A42, ""name"")"),"Amphenol Corporation")</f>
        <v>Amphenol Corporation</v>
      </c>
      <c r="C42" s="15">
        <f ca="1">IFERROR(__xludf.DUMMYFUNCTION("GoogleFinance(A42, ""price"")"),115.35)</f>
        <v>115.35</v>
      </c>
      <c r="D42" s="6">
        <f ca="1">IFERROR(__xludf.DUMMYFUNCTION("GoogleFinance(A42, ""eps"")"),3.11)</f>
        <v>3.11</v>
      </c>
      <c r="E42" s="6">
        <f ca="1">IFERROR(__xludf.DUMMYFUNCTION("GOOGLEFINANCE(A42,""pe"")"),37.13)</f>
        <v>37.130000000000003</v>
      </c>
      <c r="F42" s="6">
        <f ca="1">IFERROR(__xludf.DUMMYFUNCTION("GoogleFinance(A42, ""beta"")"),1.3)</f>
        <v>1.3</v>
      </c>
      <c r="G42" s="13">
        <f ca="1">IFERROR(__xludf.DUMMYFUNCTION("GOOGLEFINANCE(A42,""shares"")"),599855000)</f>
        <v>599855000</v>
      </c>
      <c r="H42" s="10">
        <f ca="1">IFERROR(__xludf.DUMMYFUNCTION("GOOGLEFINANCE(A42,""marketcap"")"),69193261799)</f>
        <v>69193261799</v>
      </c>
      <c r="I42" s="13">
        <f ca="1">IFERROR(__xludf.DUMMYFUNCTION("GOOGLEFINANCE(A42,""volume"")"),4355992)</f>
        <v>4355992</v>
      </c>
      <c r="J42" s="13">
        <f ca="1">IFERROR(__xludf.DUMMYFUNCTION("GOOGLEFINANCE(A42,""volumeavg"")"),2568271)</f>
        <v>2568271</v>
      </c>
      <c r="K42" s="15">
        <f ca="1">IFERROR(__xludf.DUMMYFUNCTION("GOOGLEFINANCE(A42,""high52"")"),119.59)</f>
        <v>119.59</v>
      </c>
      <c r="L42" s="15">
        <f ca="1">IFERROR(__xludf.DUMMYFUNCTION("GOOGLEFINANCE(A42,""low52"")"),72)</f>
        <v>72</v>
      </c>
      <c r="M42" s="7">
        <f t="shared" ca="1" si="0"/>
        <v>45379.717931597224</v>
      </c>
    </row>
    <row r="43" spans="1:13">
      <c r="A43" s="4" t="s">
        <v>54</v>
      </c>
      <c r="B43" s="5" t="str">
        <f ca="1">IFERROR(__xludf.DUMMYFUNCTION("GoogleFinance(A43, ""name"")"),"Aptiv PLC")</f>
        <v>Aptiv PLC</v>
      </c>
      <c r="C43" s="15">
        <f ca="1">IFERROR(__xludf.DUMMYFUNCTION("GoogleFinance(A43, ""price"")"),79.65)</f>
        <v>79.650000000000006</v>
      </c>
      <c r="D43" s="6">
        <f ca="1">IFERROR(__xludf.DUMMYFUNCTION("GoogleFinance(A43, ""eps"")"),10.28)</f>
        <v>10.28</v>
      </c>
      <c r="E43" s="6">
        <f ca="1">IFERROR(__xludf.DUMMYFUNCTION("GOOGLEFINANCE(A43,""pe"")"),7.75)</f>
        <v>7.75</v>
      </c>
      <c r="F43" s="6">
        <f ca="1">IFERROR(__xludf.DUMMYFUNCTION("GoogleFinance(A43, ""beta"")"),1.9)</f>
        <v>1.9</v>
      </c>
      <c r="G43" s="13">
        <f ca="1">IFERROR(__xludf.DUMMYFUNCTION("GOOGLEFINANCE(A43,""shares"")"),272679000)</f>
        <v>272679000</v>
      </c>
      <c r="H43" s="10">
        <f ca="1">IFERROR(__xludf.DUMMYFUNCTION("GOOGLEFINANCE(A43,""marketcap"")"),21718850906)</f>
        <v>21718850906</v>
      </c>
      <c r="I43" s="13">
        <f ca="1">IFERROR(__xludf.DUMMYFUNCTION("GOOGLEFINANCE(A43,""volume"")"),2654495)</f>
        <v>2654495</v>
      </c>
      <c r="J43" s="13">
        <f ca="1">IFERROR(__xludf.DUMMYFUNCTION("GOOGLEFINANCE(A43,""volumeavg"")"),2347251)</f>
        <v>2347251</v>
      </c>
      <c r="K43" s="15">
        <f ca="1">IFERROR(__xludf.DUMMYFUNCTION("GOOGLEFINANCE(A43,""high52"")"),113.6)</f>
        <v>113.6</v>
      </c>
      <c r="L43" s="15">
        <f ca="1">IFERROR(__xludf.DUMMYFUNCTION("GOOGLEFINANCE(A43,""low52"")"),71.01)</f>
        <v>71.010000000000005</v>
      </c>
      <c r="M43" s="7">
        <f t="shared" ca="1" si="0"/>
        <v>45379.717931597224</v>
      </c>
    </row>
    <row r="44" spans="1:13">
      <c r="A44" s="4" t="s">
        <v>55</v>
      </c>
      <c r="B44" s="5" t="str">
        <f ca="1">IFERROR(__xludf.DUMMYFUNCTION("GoogleFinance(A44, ""name"")"),"Alexandria Real Estate Equities Inc")</f>
        <v>Alexandria Real Estate Equities Inc</v>
      </c>
      <c r="C44" s="15">
        <f ca="1">IFERROR(__xludf.DUMMYFUNCTION("GoogleFinance(A44, ""price"")"),128.91)</f>
        <v>128.91</v>
      </c>
      <c r="D44" s="6">
        <f ca="1">IFERROR(__xludf.DUMMYFUNCTION("GoogleFinance(A44, ""eps"")"),0.54)</f>
        <v>0.54</v>
      </c>
      <c r="E44" s="6">
        <f ca="1">IFERROR(__xludf.DUMMYFUNCTION("GOOGLEFINANCE(A44,""pe"")"),238.33)</f>
        <v>238.33</v>
      </c>
      <c r="F44" s="6">
        <f ca="1">IFERROR(__xludf.DUMMYFUNCTION("GoogleFinance(A44, ""beta"")"),1.04)</f>
        <v>1.04</v>
      </c>
      <c r="G44" s="13">
        <f ca="1">IFERROR(__xludf.DUMMYFUNCTION("GOOGLEFINANCE(A44,""shares"")"),174944000)</f>
        <v>174944000</v>
      </c>
      <c r="H44" s="10">
        <f ca="1">IFERROR(__xludf.DUMMYFUNCTION("GOOGLEFINANCE(A44,""marketcap"")"),22552070353)</f>
        <v>22552070353</v>
      </c>
      <c r="I44" s="13">
        <f ca="1">IFERROR(__xludf.DUMMYFUNCTION("GOOGLEFINANCE(A44,""volume"")"),812340)</f>
        <v>812340</v>
      </c>
      <c r="J44" s="13">
        <f ca="1">IFERROR(__xludf.DUMMYFUNCTION("GOOGLEFINANCE(A44,""volumeavg"")"),1021386)</f>
        <v>1021386</v>
      </c>
      <c r="K44" s="15">
        <f ca="1">IFERROR(__xludf.DUMMYFUNCTION("GOOGLEFINANCE(A44,""high52"")"),135.45)</f>
        <v>135.44999999999999</v>
      </c>
      <c r="L44" s="15">
        <f ca="1">IFERROR(__xludf.DUMMYFUNCTION("GOOGLEFINANCE(A44,""low52"")"),90.73)</f>
        <v>90.73</v>
      </c>
      <c r="M44" s="7">
        <f t="shared" ca="1" si="0"/>
        <v>45379.717931597224</v>
      </c>
    </row>
    <row r="45" spans="1:13">
      <c r="A45" s="4" t="s">
        <v>56</v>
      </c>
      <c r="B45" s="5" t="str">
        <f ca="1">IFERROR(__xludf.DUMMYFUNCTION("GoogleFinance(A45, ""name"")"),"Atmos Energy Corporation")</f>
        <v>Atmos Energy Corporation</v>
      </c>
      <c r="C45" s="15">
        <f ca="1">IFERROR(__xludf.DUMMYFUNCTION("GoogleFinance(A45, ""price"")"),118.87)</f>
        <v>118.87</v>
      </c>
      <c r="D45" s="6">
        <f ca="1">IFERROR(__xludf.DUMMYFUNCTION("GoogleFinance(A45, ""eps"")"),6.24)</f>
        <v>6.24</v>
      </c>
      <c r="E45" s="6">
        <f ca="1">IFERROR(__xludf.DUMMYFUNCTION("GOOGLEFINANCE(A45,""pe"")"),19.05)</f>
        <v>19.05</v>
      </c>
      <c r="F45" s="6">
        <f ca="1">IFERROR(__xludf.DUMMYFUNCTION("GoogleFinance(A45, ""beta"")"),0.66)</f>
        <v>0.66</v>
      </c>
      <c r="G45" s="13">
        <f ca="1">IFERROR(__xludf.DUMMYFUNCTION("GOOGLEFINANCE(A45,""shares"")"),150840000)</f>
        <v>150840000</v>
      </c>
      <c r="H45" s="10">
        <f ca="1">IFERROR(__xludf.DUMMYFUNCTION("GOOGLEFINANCE(A45,""marketcap"")"),17930303666)</f>
        <v>17930303666</v>
      </c>
      <c r="I45" s="13">
        <f ca="1">IFERROR(__xludf.DUMMYFUNCTION("GOOGLEFINANCE(A45,""volume"")"),1265443)</f>
        <v>1265443</v>
      </c>
      <c r="J45" s="13">
        <f ca="1">IFERROR(__xludf.DUMMYFUNCTION("GOOGLEFINANCE(A45,""volumeavg"")"),912619)</f>
        <v>912619</v>
      </c>
      <c r="K45" s="15">
        <f ca="1">IFERROR(__xludf.DUMMYFUNCTION("GOOGLEFINANCE(A45,""high52"")"),125.28)</f>
        <v>125.28</v>
      </c>
      <c r="L45" s="15">
        <f ca="1">IFERROR(__xludf.DUMMYFUNCTION("GOOGLEFINANCE(A45,""low52"")"),101)</f>
        <v>101</v>
      </c>
      <c r="M45" s="7">
        <f t="shared" ca="1" si="0"/>
        <v>45379.717931597224</v>
      </c>
    </row>
    <row r="46" spans="1:13">
      <c r="A46" s="4" t="s">
        <v>57</v>
      </c>
      <c r="B46" s="5" t="str">
        <f ca="1">IFERROR(__xludf.DUMMYFUNCTION("GoogleFinance(A46, ""name"")"),"AvalonBay Communities Inc")</f>
        <v>AvalonBay Communities Inc</v>
      </c>
      <c r="C46" s="15">
        <f ca="1">IFERROR(__xludf.DUMMYFUNCTION("GoogleFinance(A46, ""price"")"),185.56)</f>
        <v>185.56</v>
      </c>
      <c r="D46" s="6">
        <f ca="1">IFERROR(__xludf.DUMMYFUNCTION("GoogleFinance(A46, ""eps"")"),6.56)</f>
        <v>6.56</v>
      </c>
      <c r="E46" s="6">
        <f ca="1">IFERROR(__xludf.DUMMYFUNCTION("GOOGLEFINANCE(A46,""pe"")"),28.3)</f>
        <v>28.3</v>
      </c>
      <c r="F46" s="6">
        <f ca="1">IFERROR(__xludf.DUMMYFUNCTION("GoogleFinance(A46, ""beta"")"),0.91)</f>
        <v>0.91</v>
      </c>
      <c r="G46" s="13">
        <f ca="1">IFERROR(__xludf.DUMMYFUNCTION("GOOGLEFINANCE(A46,""shares"")"),142025000)</f>
        <v>142025000</v>
      </c>
      <c r="H46" s="10">
        <f ca="1">IFERROR(__xludf.DUMMYFUNCTION("GOOGLEFINANCE(A46,""marketcap"")"),26354214321)</f>
        <v>26354214321</v>
      </c>
      <c r="I46" s="13">
        <f ca="1">IFERROR(__xludf.DUMMYFUNCTION("GOOGLEFINANCE(A46,""volume"")"),730692)</f>
        <v>730692</v>
      </c>
      <c r="J46" s="13">
        <f ca="1">IFERROR(__xludf.DUMMYFUNCTION("GOOGLEFINANCE(A46,""volumeavg"")"),731753)</f>
        <v>731753</v>
      </c>
      <c r="K46" s="15">
        <f ca="1">IFERROR(__xludf.DUMMYFUNCTION("GOOGLEFINANCE(A46,""high52"")"),198.66)</f>
        <v>198.66</v>
      </c>
      <c r="L46" s="15">
        <f ca="1">IFERROR(__xludf.DUMMYFUNCTION("GOOGLEFINANCE(A46,""low52"")"),159.57)</f>
        <v>159.57</v>
      </c>
      <c r="M46" s="7">
        <f t="shared" ca="1" si="0"/>
        <v>45379.717931597224</v>
      </c>
    </row>
    <row r="47" spans="1:13">
      <c r="A47" s="4" t="s">
        <v>58</v>
      </c>
      <c r="B47" s="5" t="str">
        <f ca="1">IFERROR(__xludf.DUMMYFUNCTION("GoogleFinance(A47, ""name"")"),"Broadcom Inc")</f>
        <v>Broadcom Inc</v>
      </c>
      <c r="C47" s="15">
        <f ca="1">IFERROR(__xludf.DUMMYFUNCTION("GoogleFinance(A47, ""price"")"),1325.41)</f>
        <v>1325.41</v>
      </c>
      <c r="D47" s="6">
        <f ca="1">IFERROR(__xludf.DUMMYFUNCTION("GoogleFinance(A47, ""eps"")"),26.98)</f>
        <v>26.98</v>
      </c>
      <c r="E47" s="6">
        <f ca="1">IFERROR(__xludf.DUMMYFUNCTION("GOOGLEFINANCE(A47,""pe"")"),49.13)</f>
        <v>49.13</v>
      </c>
      <c r="F47" s="6">
        <f ca="1">IFERROR(__xludf.DUMMYFUNCTION("GoogleFinance(A47, ""beta"")"),1.25)</f>
        <v>1.25</v>
      </c>
      <c r="G47" s="13">
        <f ca="1">IFERROR(__xludf.DUMMYFUNCTION("GOOGLEFINANCE(A47,""shares"")"),463421000)</f>
        <v>463421000</v>
      </c>
      <c r="H47" s="10">
        <f ca="1">IFERROR(__xludf.DUMMYFUNCTION("GOOGLEFINANCE(A47,""marketcap"")"),614223108531)</f>
        <v>614223108531</v>
      </c>
      <c r="I47" s="13">
        <f ca="1">IFERROR(__xludf.DUMMYFUNCTION("GOOGLEFINANCE(A47,""volume"")"),1985246)</f>
        <v>1985246</v>
      </c>
      <c r="J47" s="13">
        <f ca="1">IFERROR(__xludf.DUMMYFUNCTION("GOOGLEFINANCE(A47,""volumeavg"")"),3543385)</f>
        <v>3543385</v>
      </c>
      <c r="K47" s="15">
        <f ca="1">IFERROR(__xludf.DUMMYFUNCTION("GOOGLEFINANCE(A47,""high52"")"),1438.17)</f>
        <v>1438.17</v>
      </c>
      <c r="L47" s="15">
        <f ca="1">IFERROR(__xludf.DUMMYFUNCTION("GOOGLEFINANCE(A47,""low52"")"),601.29)</f>
        <v>601.29</v>
      </c>
      <c r="M47" s="7">
        <f t="shared" ca="1" si="0"/>
        <v>45379.717931597224</v>
      </c>
    </row>
    <row r="48" spans="1:13">
      <c r="A48" s="4" t="s">
        <v>59</v>
      </c>
      <c r="B48" s="5" t="str">
        <f ca="1">IFERROR(__xludf.DUMMYFUNCTION("GoogleFinance(A48, ""name"")"),"Avery Dennison Corp")</f>
        <v>Avery Dennison Corp</v>
      </c>
      <c r="C48" s="15">
        <f ca="1">IFERROR(__xludf.DUMMYFUNCTION("GoogleFinance(A48, ""price"")"),223.25)</f>
        <v>223.25</v>
      </c>
      <c r="D48" s="6">
        <f ca="1">IFERROR(__xludf.DUMMYFUNCTION("GoogleFinance(A48, ""eps"")"),6.2)</f>
        <v>6.2</v>
      </c>
      <c r="E48" s="6">
        <f ca="1">IFERROR(__xludf.DUMMYFUNCTION("GOOGLEFINANCE(A48,""pe"")"),36)</f>
        <v>36</v>
      </c>
      <c r="F48" s="6">
        <f ca="1">IFERROR(__xludf.DUMMYFUNCTION("GoogleFinance(A48, ""beta"")"),0.9)</f>
        <v>0.9</v>
      </c>
      <c r="G48" s="13">
        <f ca="1">IFERROR(__xludf.DUMMYFUNCTION("GOOGLEFINANCE(A48,""shares"")"),80520000)</f>
        <v>80520000</v>
      </c>
      <c r="H48" s="10">
        <f ca="1">IFERROR(__xludf.DUMMYFUNCTION("GOOGLEFINANCE(A48,""marketcap"")"),17976172602)</f>
        <v>17976172602</v>
      </c>
      <c r="I48" s="13">
        <f ca="1">IFERROR(__xludf.DUMMYFUNCTION("GOOGLEFINANCE(A48,""volume"")"),316695)</f>
        <v>316695</v>
      </c>
      <c r="J48" s="13">
        <f ca="1">IFERROR(__xludf.DUMMYFUNCTION("GOOGLEFINANCE(A48,""volumeavg"")"),408741)</f>
        <v>408741</v>
      </c>
      <c r="K48" s="15">
        <f ca="1">IFERROR(__xludf.DUMMYFUNCTION("GOOGLEFINANCE(A48,""high52"")"),225.26)</f>
        <v>225.26</v>
      </c>
      <c r="L48" s="15">
        <f ca="1">IFERROR(__xludf.DUMMYFUNCTION("GOOGLEFINANCE(A48,""low52"")"),158.93)</f>
        <v>158.93</v>
      </c>
      <c r="M48" s="7">
        <f t="shared" ca="1" si="0"/>
        <v>45379.717931597224</v>
      </c>
    </row>
    <row r="49" spans="1:13">
      <c r="A49" s="4" t="s">
        <v>60</v>
      </c>
      <c r="B49" s="5" t="str">
        <f ca="1">IFERROR(__xludf.DUMMYFUNCTION("GoogleFinance(A49, ""name"")"),"American Water Works Company Inc")</f>
        <v>American Water Works Company Inc</v>
      </c>
      <c r="C49" s="15">
        <f ca="1">IFERROR(__xludf.DUMMYFUNCTION("GoogleFinance(A49, ""price"")"),122.21)</f>
        <v>122.21</v>
      </c>
      <c r="D49" s="6">
        <f ca="1">IFERROR(__xludf.DUMMYFUNCTION("GoogleFinance(A49, ""eps"")"),4.89)</f>
        <v>4.8899999999999997</v>
      </c>
      <c r="E49" s="6">
        <f ca="1">IFERROR(__xludf.DUMMYFUNCTION("GOOGLEFINANCE(A49,""pe"")"),24.99)</f>
        <v>24.99</v>
      </c>
      <c r="F49" s="6">
        <f ca="1">IFERROR(__xludf.DUMMYFUNCTION("GoogleFinance(A49, ""beta"")"),0.63)</f>
        <v>0.63</v>
      </c>
      <c r="G49" s="13">
        <f ca="1">IFERROR(__xludf.DUMMYFUNCTION("GOOGLEFINANCE(A49,""shares"")"),194755000)</f>
        <v>194755000</v>
      </c>
      <c r="H49" s="10">
        <f ca="1">IFERROR(__xludf.DUMMYFUNCTION("GOOGLEFINANCE(A49,""marketcap"")"),23801045034)</f>
        <v>23801045034</v>
      </c>
      <c r="I49" s="13">
        <f ca="1">IFERROR(__xludf.DUMMYFUNCTION("GOOGLEFINANCE(A49,""volume"")"),2004209)</f>
        <v>2004209</v>
      </c>
      <c r="J49" s="13">
        <f ca="1">IFERROR(__xludf.DUMMYFUNCTION("GOOGLEFINANCE(A49,""volumeavg"")"),1751524)</f>
        <v>1751524</v>
      </c>
      <c r="K49" s="15">
        <f ca="1">IFERROR(__xludf.DUMMYFUNCTION("GOOGLEFINANCE(A49,""high52"")"),153.43)</f>
        <v>153.43</v>
      </c>
      <c r="L49" s="15">
        <f ca="1">IFERROR(__xludf.DUMMYFUNCTION("GOOGLEFINANCE(A49,""low52"")"),114.25)</f>
        <v>114.25</v>
      </c>
      <c r="M49" s="7">
        <f t="shared" ca="1" si="0"/>
        <v>45379.717931597224</v>
      </c>
    </row>
    <row r="50" spans="1:13">
      <c r="A50" s="4" t="s">
        <v>61</v>
      </c>
      <c r="B50" s="5" t="str">
        <f ca="1">IFERROR(__xludf.DUMMYFUNCTION("GoogleFinance(A50, ""name"")"),"Axon Enterprise Inc")</f>
        <v>Axon Enterprise Inc</v>
      </c>
      <c r="C50" s="15">
        <f ca="1">IFERROR(__xludf.DUMMYFUNCTION("GoogleFinance(A50, ""price"")"),312.88)</f>
        <v>312.88</v>
      </c>
      <c r="D50" s="6">
        <f ca="1">IFERROR(__xludf.DUMMYFUNCTION("GoogleFinance(A50, ""eps"")"),-0.66)</f>
        <v>-0.66</v>
      </c>
      <c r="E50" s="6" t="str">
        <f ca="1">IFERROR(__xludf.DUMMYFUNCTION("GOOGLEFINANCE(A50,""pe"")"),"#N/A")</f>
        <v>#N/A</v>
      </c>
      <c r="F50" s="6">
        <f ca="1">IFERROR(__xludf.DUMMYFUNCTION("GoogleFinance(A50, ""beta"")"),0.62)</f>
        <v>0.62</v>
      </c>
      <c r="G50" s="13">
        <f ca="1">IFERROR(__xludf.DUMMYFUNCTION("GOOGLEFINANCE(A50,""shares"")"),63550000)</f>
        <v>63550000</v>
      </c>
      <c r="H50" s="10">
        <f ca="1">IFERROR(__xludf.DUMMYFUNCTION("GOOGLEFINANCE(A50,""marketcap"")"),23768590000)</f>
        <v>23768590000</v>
      </c>
      <c r="I50" s="13">
        <f ca="1">IFERROR(__xludf.DUMMYFUNCTION("GOOGLEFINANCE(A50,""volume"")"),357827)</f>
        <v>357827</v>
      </c>
      <c r="J50" s="13">
        <f ca="1">IFERROR(__xludf.DUMMYFUNCTION("GOOGLEFINANCE(A50,""volumeavg"")"),602644)</f>
        <v>602644</v>
      </c>
      <c r="K50" s="15">
        <f ca="1">IFERROR(__xludf.DUMMYFUNCTION("GOOGLEFINANCE(A50,""high52"")"),325.63)</f>
        <v>325.63</v>
      </c>
      <c r="L50" s="15">
        <f ca="1">IFERROR(__xludf.DUMMYFUNCTION("GOOGLEFINANCE(A50,""low52"")"),175.37)</f>
        <v>175.37</v>
      </c>
      <c r="M50" s="7">
        <f t="shared" ca="1" si="0"/>
        <v>45379.717931597224</v>
      </c>
    </row>
    <row r="51" spans="1:13">
      <c r="A51" s="4" t="s">
        <v>62</v>
      </c>
      <c r="B51" s="5" t="str">
        <f ca="1">IFERROR(__xludf.DUMMYFUNCTION("GoogleFinance(A51, ""name"")"),"American Express Company")</f>
        <v>American Express Company</v>
      </c>
      <c r="C51" s="15">
        <f ca="1">IFERROR(__xludf.DUMMYFUNCTION("GoogleFinance(A51, ""price"")"),227.69)</f>
        <v>227.69</v>
      </c>
      <c r="D51" s="6">
        <f ca="1">IFERROR(__xludf.DUMMYFUNCTION("GoogleFinance(A51, ""eps"")"),11.21)</f>
        <v>11.21</v>
      </c>
      <c r="E51" s="6">
        <f ca="1">IFERROR(__xludf.DUMMYFUNCTION("GOOGLEFINANCE(A51,""pe"")"),20.31)</f>
        <v>20.309999999999999</v>
      </c>
      <c r="F51" s="6">
        <f ca="1">IFERROR(__xludf.DUMMYFUNCTION("GoogleFinance(A51, ""beta"")"),1.23)</f>
        <v>1.23</v>
      </c>
      <c r="G51" s="13">
        <f ca="1">IFERROR(__xludf.DUMMYFUNCTION("GOOGLEFINANCE(A51,""shares"")"),723870000)</f>
        <v>723870000</v>
      </c>
      <c r="H51" s="10">
        <f ca="1">IFERROR(__xludf.DUMMYFUNCTION("GOOGLEFINANCE(A51,""marketcap"")"),164817848222)</f>
        <v>164817848222</v>
      </c>
      <c r="I51" s="13">
        <f ca="1">IFERROR(__xludf.DUMMYFUNCTION("GOOGLEFINANCE(A51,""volume"")"),2295833)</f>
        <v>2295833</v>
      </c>
      <c r="J51" s="13">
        <f ca="1">IFERROR(__xludf.DUMMYFUNCTION("GOOGLEFINANCE(A51,""volumeavg"")"),2719365)</f>
        <v>2719365</v>
      </c>
      <c r="K51" s="15">
        <f ca="1">IFERROR(__xludf.DUMMYFUNCTION("GOOGLEFINANCE(A51,""high52"")"),231.69)</f>
        <v>231.69</v>
      </c>
      <c r="L51" s="15">
        <f ca="1">IFERROR(__xludf.DUMMYFUNCTION("GOOGLEFINANCE(A51,""low52"")"),140.91)</f>
        <v>140.91</v>
      </c>
      <c r="M51" s="7">
        <f t="shared" ca="1" si="0"/>
        <v>45379.717931597224</v>
      </c>
    </row>
    <row r="52" spans="1:13">
      <c r="A52" s="4" t="s">
        <v>63</v>
      </c>
      <c r="B52" s="5" t="str">
        <f ca="1">IFERROR(__xludf.DUMMYFUNCTION("GoogleFinance(A52, ""name"")"),"Autozone Inc")</f>
        <v>Autozone Inc</v>
      </c>
      <c r="C52" s="15">
        <f ca="1">IFERROR(__xludf.DUMMYFUNCTION("GoogleFinance(A52, ""price"")"),3151.65)</f>
        <v>3151.65</v>
      </c>
      <c r="D52" s="6">
        <f ca="1">IFERROR(__xludf.DUMMYFUNCTION("GoogleFinance(A52, ""eps"")"),142.44)</f>
        <v>142.44</v>
      </c>
      <c r="E52" s="6">
        <f ca="1">IFERROR(__xludf.DUMMYFUNCTION("GOOGLEFINANCE(A52,""pe"")"),22.13)</f>
        <v>22.13</v>
      </c>
      <c r="F52" s="6">
        <f ca="1">IFERROR(__xludf.DUMMYFUNCTION("GoogleFinance(A52, ""beta"")"),0.7)</f>
        <v>0.7</v>
      </c>
      <c r="G52" s="13">
        <f ca="1">IFERROR(__xludf.DUMMYFUNCTION("GOOGLEFINANCE(A52,""shares"")"),17303000)</f>
        <v>17303000</v>
      </c>
      <c r="H52" s="10">
        <f ca="1">IFERROR(__xludf.DUMMYFUNCTION("GOOGLEFINANCE(A52,""marketcap"")"),54532651578)</f>
        <v>54532651578</v>
      </c>
      <c r="I52" s="13">
        <f ca="1">IFERROR(__xludf.DUMMYFUNCTION("GOOGLEFINANCE(A52,""volume"")"),173056)</f>
        <v>173056</v>
      </c>
      <c r="J52" s="13">
        <f ca="1">IFERROR(__xludf.DUMMYFUNCTION("GOOGLEFINANCE(A52,""volumeavg"")"),161551)</f>
        <v>161551</v>
      </c>
      <c r="K52" s="15">
        <f ca="1">IFERROR(__xludf.DUMMYFUNCTION("GOOGLEFINANCE(A52,""high52"")"),3256.37)</f>
        <v>3256.37</v>
      </c>
      <c r="L52" s="15">
        <f ca="1">IFERROR(__xludf.DUMMYFUNCTION("GOOGLEFINANCE(A52,""low52"")"),2277.88)</f>
        <v>2277.88</v>
      </c>
      <c r="M52" s="7">
        <f t="shared" ca="1" si="0"/>
        <v>45379.717931597224</v>
      </c>
    </row>
    <row r="53" spans="1:13">
      <c r="A53" s="4" t="s">
        <v>64</v>
      </c>
      <c r="B53" s="5" t="str">
        <f ca="1">IFERROR(__xludf.DUMMYFUNCTION("GoogleFinance(A53, ""name"")"),"Boeing Co")</f>
        <v>Boeing Co</v>
      </c>
      <c r="C53" s="15">
        <f ca="1">IFERROR(__xludf.DUMMYFUNCTION("GoogleFinance(A53, ""price"")"),192.99)</f>
        <v>192.99</v>
      </c>
      <c r="D53" s="6">
        <f ca="1">IFERROR(__xludf.DUMMYFUNCTION("GoogleFinance(A53, ""eps"")"),-3.67)</f>
        <v>-3.67</v>
      </c>
      <c r="E53" s="6" t="str">
        <f ca="1">IFERROR(__xludf.DUMMYFUNCTION("GOOGLEFINANCE(A53,""pe"")"),"#N/A")</f>
        <v>#N/A</v>
      </c>
      <c r="F53" s="6">
        <f ca="1">IFERROR(__xludf.DUMMYFUNCTION("GoogleFinance(A53, ""beta"")"),1.52)</f>
        <v>1.52</v>
      </c>
      <c r="G53" s="13">
        <f ca="1">IFERROR(__xludf.DUMMYFUNCTION("GOOGLEFINANCE(A53,""shares"")"),610135000)</f>
        <v>610135000</v>
      </c>
      <c r="H53" s="10">
        <f ca="1">IFERROR(__xludf.DUMMYFUNCTION("GOOGLEFINANCE(A53,""marketcap"")"),117750034197)</f>
        <v>117750034197</v>
      </c>
      <c r="I53" s="13">
        <f ca="1">IFERROR(__xludf.DUMMYFUNCTION("GOOGLEFINANCE(A53,""volume"")"),4469686)</f>
        <v>4469686</v>
      </c>
      <c r="J53" s="13">
        <f ca="1">IFERROR(__xludf.DUMMYFUNCTION("GOOGLEFINANCE(A53,""volumeavg"")"),8272481)</f>
        <v>8272481</v>
      </c>
      <c r="K53" s="15">
        <f ca="1">IFERROR(__xludf.DUMMYFUNCTION("GOOGLEFINANCE(A53,""high52"")"),267.54)</f>
        <v>267.54000000000002</v>
      </c>
      <c r="L53" s="15">
        <f ca="1">IFERROR(__xludf.DUMMYFUNCTION("GOOGLEFINANCE(A53,""low52"")"),176.25)</f>
        <v>176.25</v>
      </c>
      <c r="M53" s="7">
        <f t="shared" ca="1" si="0"/>
        <v>45379.717931597224</v>
      </c>
    </row>
    <row r="54" spans="1:13">
      <c r="A54" s="4" t="s">
        <v>65</v>
      </c>
      <c r="B54" s="5" t="str">
        <f ca="1">IFERROR(__xludf.DUMMYFUNCTION("GoogleFinance(A54, ""name"")"),"Bank of America Corp")</f>
        <v>Bank of America Corp</v>
      </c>
      <c r="C54" s="15">
        <f ca="1">IFERROR(__xludf.DUMMYFUNCTION("GoogleFinance(A54, ""price"")"),37.92)</f>
        <v>37.92</v>
      </c>
      <c r="D54" s="6">
        <f ca="1">IFERROR(__xludf.DUMMYFUNCTION("GoogleFinance(A54, ""eps"")"),3.08)</f>
        <v>3.08</v>
      </c>
      <c r="E54" s="6">
        <f ca="1">IFERROR(__xludf.DUMMYFUNCTION("GOOGLEFINANCE(A54,""pe"")"),12.32)</f>
        <v>12.32</v>
      </c>
      <c r="F54" s="6">
        <f ca="1">IFERROR(__xludf.DUMMYFUNCTION("GoogleFinance(A54, ""beta"")"),1.38)</f>
        <v>1.38</v>
      </c>
      <c r="G54" s="13">
        <f ca="1">IFERROR(__xludf.DUMMYFUNCTION("GOOGLEFINANCE(A54,""shares"")"),7872658000)</f>
        <v>7872658000</v>
      </c>
      <c r="H54" s="10">
        <f ca="1">IFERROR(__xludf.DUMMYFUNCTION("GOOGLEFINANCE(A54,""marketcap"")"),299213054351)</f>
        <v>299213054351</v>
      </c>
      <c r="I54" s="13">
        <f ca="1">IFERROR(__xludf.DUMMYFUNCTION("GOOGLEFINANCE(A54,""volume"")"),42259461)</f>
        <v>42259461</v>
      </c>
      <c r="J54" s="13">
        <f ca="1">IFERROR(__xludf.DUMMYFUNCTION("GOOGLEFINANCE(A54,""volumeavg"")"),39464710)</f>
        <v>39464710</v>
      </c>
      <c r="K54" s="15">
        <f ca="1">IFERROR(__xludf.DUMMYFUNCTION("GOOGLEFINANCE(A54,""high52"")"),38)</f>
        <v>38</v>
      </c>
      <c r="L54" s="15">
        <f ca="1">IFERROR(__xludf.DUMMYFUNCTION("GOOGLEFINANCE(A54,""low52"")"),24.96)</f>
        <v>24.96</v>
      </c>
      <c r="M54" s="7">
        <f t="shared" ca="1" si="0"/>
        <v>45379.717931597224</v>
      </c>
    </row>
    <row r="55" spans="1:13">
      <c r="A55" s="4" t="s">
        <v>66</v>
      </c>
      <c r="B55" s="5" t="str">
        <f ca="1">IFERROR(__xludf.DUMMYFUNCTION("GoogleFinance(A55, ""name"")"),"Ball Corp")</f>
        <v>Ball Corp</v>
      </c>
      <c r="C55" s="15">
        <f ca="1">IFERROR(__xludf.DUMMYFUNCTION("GoogleFinance(A55, ""price"")"),67.36)</f>
        <v>67.36</v>
      </c>
      <c r="D55" s="6">
        <f ca="1">IFERROR(__xludf.DUMMYFUNCTION("GoogleFinance(A55, ""eps"")"),3.42)</f>
        <v>3.42</v>
      </c>
      <c r="E55" s="6">
        <f ca="1">IFERROR(__xludf.DUMMYFUNCTION("GOOGLEFINANCE(A55,""pe"")"),20.31)</f>
        <v>20.309999999999999</v>
      </c>
      <c r="F55" s="6">
        <f ca="1">IFERROR(__xludf.DUMMYFUNCTION("GoogleFinance(A55, ""beta"")"),0.54)</f>
        <v>0.54</v>
      </c>
      <c r="G55" s="13">
        <f ca="1">IFERROR(__xludf.DUMMYFUNCTION("GOOGLEFINANCE(A55,""shares"")"),321212000)</f>
        <v>321212000</v>
      </c>
      <c r="H55" s="10">
        <f ca="1">IFERROR(__xludf.DUMMYFUNCTION("GOOGLEFINANCE(A55,""marketcap"")"),21206295600)</f>
        <v>21206295600</v>
      </c>
      <c r="I55" s="13">
        <f ca="1">IFERROR(__xludf.DUMMYFUNCTION("GOOGLEFINANCE(A55,""volume"")"),1555883)</f>
        <v>1555883</v>
      </c>
      <c r="J55" s="13">
        <f ca="1">IFERROR(__xludf.DUMMYFUNCTION("GOOGLEFINANCE(A55,""volumeavg"")"),1840608)</f>
        <v>1840608</v>
      </c>
      <c r="K55" s="15">
        <f ca="1">IFERROR(__xludf.DUMMYFUNCTION("GOOGLEFINANCE(A55,""high52"")"),67.85)</f>
        <v>67.849999999999994</v>
      </c>
      <c r="L55" s="15">
        <f ca="1">IFERROR(__xludf.DUMMYFUNCTION("GOOGLEFINANCE(A55,""low52"")"),42.81)</f>
        <v>42.81</v>
      </c>
      <c r="M55" s="7">
        <f t="shared" ca="1" si="0"/>
        <v>45379.717931597224</v>
      </c>
    </row>
    <row r="56" spans="1:13">
      <c r="A56" s="4" t="s">
        <v>67</v>
      </c>
      <c r="B56" s="5" t="str">
        <f ca="1">IFERROR(__xludf.DUMMYFUNCTION("GoogleFinance(A56, ""name"")"),"Baxter International Inc")</f>
        <v>Baxter International Inc</v>
      </c>
      <c r="C56" s="15">
        <f ca="1">IFERROR(__xludf.DUMMYFUNCTION("GoogleFinance(A56, ""price"")"),42.74)</f>
        <v>42.74</v>
      </c>
      <c r="D56" s="6">
        <f ca="1">IFERROR(__xludf.DUMMYFUNCTION("GoogleFinance(A56, ""eps"")"),-0.15)</f>
        <v>-0.15</v>
      </c>
      <c r="E56" s="6" t="str">
        <f ca="1">IFERROR(__xludf.DUMMYFUNCTION("GOOGLEFINANCE(A56,""pe"")"),"#N/A")</f>
        <v>#N/A</v>
      </c>
      <c r="F56" s="6">
        <f ca="1">IFERROR(__xludf.DUMMYFUNCTION("GoogleFinance(A56, ""beta"")"),0.62)</f>
        <v>0.62</v>
      </c>
      <c r="G56" s="13">
        <f ca="1">IFERROR(__xludf.DUMMYFUNCTION("GOOGLEFINANCE(A56,""shares"")"),508000000)</f>
        <v>508000000</v>
      </c>
      <c r="H56" s="10">
        <f ca="1">IFERROR(__xludf.DUMMYFUNCTION("GOOGLEFINANCE(A56,""marketcap"")"),21769487360)</f>
        <v>21769487360</v>
      </c>
      <c r="I56" s="13">
        <f ca="1">IFERROR(__xludf.DUMMYFUNCTION("GOOGLEFINANCE(A56,""volume"")"),3951652)</f>
        <v>3951652</v>
      </c>
      <c r="J56" s="13">
        <f ca="1">IFERROR(__xludf.DUMMYFUNCTION("GOOGLEFINANCE(A56,""volumeavg"")"),3898228)</f>
        <v>3898228</v>
      </c>
      <c r="K56" s="15">
        <f ca="1">IFERROR(__xludf.DUMMYFUNCTION("GOOGLEFINANCE(A56,""high52"")"),50.21)</f>
        <v>50.21</v>
      </c>
      <c r="L56" s="15">
        <f ca="1">IFERROR(__xludf.DUMMYFUNCTION("GOOGLEFINANCE(A56,""low52"")"),31.01)</f>
        <v>31.01</v>
      </c>
      <c r="M56" s="7">
        <f t="shared" ca="1" si="0"/>
        <v>45379.717931597224</v>
      </c>
    </row>
    <row r="57" spans="1:13">
      <c r="A57" s="4" t="s">
        <v>68</v>
      </c>
      <c r="B57" s="5" t="str">
        <f ca="1">IFERROR(__xludf.DUMMYFUNCTION("GoogleFinance(A57, ""name"")"),"Bath &amp; Body Works Inc")</f>
        <v>Bath &amp; Body Works Inc</v>
      </c>
      <c r="C57" s="15">
        <f ca="1">IFERROR(__xludf.DUMMYFUNCTION("GoogleFinance(A57, ""price"")"),50.02)</f>
        <v>50.02</v>
      </c>
      <c r="D57" s="6">
        <f ca="1">IFERROR(__xludf.DUMMYFUNCTION("GoogleFinance(A57, ""eps"")"),3.83)</f>
        <v>3.83</v>
      </c>
      <c r="E57" s="6">
        <f ca="1">IFERROR(__xludf.DUMMYFUNCTION("GOOGLEFINANCE(A57,""pe"")"),13.05)</f>
        <v>13.05</v>
      </c>
      <c r="F57" s="6">
        <f ca="1">IFERROR(__xludf.DUMMYFUNCTION("GoogleFinance(A57, ""beta"")"),1.85)</f>
        <v>1.85</v>
      </c>
      <c r="G57" s="13">
        <f ca="1">IFERROR(__xludf.DUMMYFUNCTION("GOOGLEFINANCE(A57,""shares"")"),224897000)</f>
        <v>224897000</v>
      </c>
      <c r="H57" s="10">
        <f ca="1">IFERROR(__xludf.DUMMYFUNCTION("GOOGLEFINANCE(A57,""marketcap"")"),11249318030)</f>
        <v>11249318030</v>
      </c>
      <c r="I57" s="13">
        <f ca="1">IFERROR(__xludf.DUMMYFUNCTION("GOOGLEFINANCE(A57,""volume"")"),2257412)</f>
        <v>2257412</v>
      </c>
      <c r="J57" s="13">
        <f ca="1">IFERROR(__xludf.DUMMYFUNCTION("GOOGLEFINANCE(A57,""volumeavg"")"),2833579)</f>
        <v>2833579</v>
      </c>
      <c r="K57" s="15">
        <f ca="1">IFERROR(__xludf.DUMMYFUNCTION("GOOGLEFINANCE(A57,""high52"")"),50.17)</f>
        <v>50.17</v>
      </c>
      <c r="L57" s="15">
        <f ca="1">IFERROR(__xludf.DUMMYFUNCTION("GOOGLEFINANCE(A57,""low52"")"),27.3)</f>
        <v>27.3</v>
      </c>
      <c r="M57" s="7">
        <f t="shared" ca="1" si="0"/>
        <v>45379.717931597224</v>
      </c>
    </row>
    <row r="58" spans="1:13">
      <c r="A58" s="4" t="s">
        <v>69</v>
      </c>
      <c r="B58" s="5" t="str">
        <f ca="1">IFERROR(__xludf.DUMMYFUNCTION("GoogleFinance(A58, ""name"")"),"Best Buy Co Inc")</f>
        <v>Best Buy Co Inc</v>
      </c>
      <c r="C58" s="15">
        <f ca="1">IFERROR(__xludf.DUMMYFUNCTION("GoogleFinance(A58, ""price"")"),82.03)</f>
        <v>82.03</v>
      </c>
      <c r="D58" s="6">
        <f ca="1">IFERROR(__xludf.DUMMYFUNCTION("GoogleFinance(A58, ""eps"")"),5.68)</f>
        <v>5.68</v>
      </c>
      <c r="E58" s="6">
        <f ca="1">IFERROR(__xludf.DUMMYFUNCTION("GOOGLEFINANCE(A58,""pe"")"),14.44)</f>
        <v>14.44</v>
      </c>
      <c r="F58" s="6">
        <f ca="1">IFERROR(__xludf.DUMMYFUNCTION("GoogleFinance(A58, ""beta"")"),1.49)</f>
        <v>1.49</v>
      </c>
      <c r="G58" s="13">
        <f ca="1">IFERROR(__xludf.DUMMYFUNCTION("GOOGLEFINANCE(A58,""shares"")"),215396000)</f>
        <v>215396000</v>
      </c>
      <c r="H58" s="10">
        <f ca="1">IFERROR(__xludf.DUMMYFUNCTION("GOOGLEFINANCE(A58,""marketcap"")"),17667735979)</f>
        <v>17667735979</v>
      </c>
      <c r="I58" s="13">
        <f ca="1">IFERROR(__xludf.DUMMYFUNCTION("GOOGLEFINANCE(A58,""volume"")"),2571044)</f>
        <v>2571044</v>
      </c>
      <c r="J58" s="13">
        <f ca="1">IFERROR(__xludf.DUMMYFUNCTION("GOOGLEFINANCE(A58,""volumeavg"")"),3623198)</f>
        <v>3623198</v>
      </c>
      <c r="K58" s="15">
        <f ca="1">IFERROR(__xludf.DUMMYFUNCTION("GOOGLEFINANCE(A58,""high52"")"),86.11)</f>
        <v>86.11</v>
      </c>
      <c r="L58" s="15">
        <f ca="1">IFERROR(__xludf.DUMMYFUNCTION("GOOGLEFINANCE(A58,""low52"")"),62.3)</f>
        <v>62.3</v>
      </c>
      <c r="M58" s="7">
        <f t="shared" ca="1" si="0"/>
        <v>45379.717931597224</v>
      </c>
    </row>
    <row r="59" spans="1:13">
      <c r="A59" s="4" t="s">
        <v>70</v>
      </c>
      <c r="B59" s="5" t="str">
        <f ca="1">IFERROR(__xludf.DUMMYFUNCTION("GoogleFinance(A59, ""name"")"),"Becton Dickinson and Co")</f>
        <v>Becton Dickinson and Co</v>
      </c>
      <c r="C59" s="15">
        <f ca="1">IFERROR(__xludf.DUMMYFUNCTION("GoogleFinance(A59, ""price"")"),247.45)</f>
        <v>247.45</v>
      </c>
      <c r="D59" s="6">
        <f ca="1">IFERROR(__xludf.DUMMYFUNCTION("GoogleFinance(A59, ""eps"")"),4.23)</f>
        <v>4.2300000000000004</v>
      </c>
      <c r="E59" s="6">
        <f ca="1">IFERROR(__xludf.DUMMYFUNCTION("GOOGLEFINANCE(A59,""pe"")"),58.56)</f>
        <v>58.56</v>
      </c>
      <c r="F59" s="6">
        <f ca="1">IFERROR(__xludf.DUMMYFUNCTION("GoogleFinance(A59, ""beta"")"),0.43)</f>
        <v>0.43</v>
      </c>
      <c r="G59" s="13">
        <f ca="1">IFERROR(__xludf.DUMMYFUNCTION("GOOGLEFINANCE(A59,""shares"")"),288902000)</f>
        <v>288902000</v>
      </c>
      <c r="H59" s="10">
        <f ca="1">IFERROR(__xludf.DUMMYFUNCTION("GOOGLEFINANCE(A59,""marketcap"")"),71488848508)</f>
        <v>71488848508</v>
      </c>
      <c r="I59" s="13">
        <f ca="1">IFERROR(__xludf.DUMMYFUNCTION("GOOGLEFINANCE(A59,""volume"")"),1093920)</f>
        <v>1093920</v>
      </c>
      <c r="J59" s="13">
        <f ca="1">IFERROR(__xludf.DUMMYFUNCTION("GOOGLEFINANCE(A59,""volumeavg"")"),1364009)</f>
        <v>1364009</v>
      </c>
      <c r="K59" s="15">
        <f ca="1">IFERROR(__xludf.DUMMYFUNCTION("GOOGLEFINANCE(A59,""high52"")"),287.32)</f>
        <v>287.32</v>
      </c>
      <c r="L59" s="15">
        <f ca="1">IFERROR(__xludf.DUMMYFUNCTION("GOOGLEFINANCE(A59,""low52"")"),229.86)</f>
        <v>229.86</v>
      </c>
      <c r="M59" s="7">
        <f t="shared" ca="1" si="0"/>
        <v>45379.717931597224</v>
      </c>
    </row>
    <row r="60" spans="1:13">
      <c r="A60" s="4" t="s">
        <v>71</v>
      </c>
      <c r="B60" s="5" t="str">
        <f ca="1">IFERROR(__xludf.DUMMYFUNCTION("GoogleFinance(A60, ""name"")"),"Franklin Resources Inc")</f>
        <v>Franklin Resources Inc</v>
      </c>
      <c r="C60" s="15">
        <f ca="1">IFERROR(__xludf.DUMMYFUNCTION("GoogleFinance(A60, ""price"")"),28.11)</f>
        <v>28.11</v>
      </c>
      <c r="D60" s="6">
        <f ca="1">IFERROR(__xludf.DUMMYFUNCTION("GoogleFinance(A60, ""eps"")"),1.89)</f>
        <v>1.89</v>
      </c>
      <c r="E60" s="6">
        <f ca="1">IFERROR(__xludf.DUMMYFUNCTION("GOOGLEFINANCE(A60,""pe"")"),14.84)</f>
        <v>14.84</v>
      </c>
      <c r="F60" s="6">
        <f ca="1">IFERROR(__xludf.DUMMYFUNCTION("GoogleFinance(A60, ""beta"")"),1.4)</f>
        <v>1.4</v>
      </c>
      <c r="G60" s="13">
        <f ca="1">IFERROR(__xludf.DUMMYFUNCTION("GOOGLEFINANCE(A60,""shares"")"),526558000)</f>
        <v>526558000</v>
      </c>
      <c r="H60" s="10">
        <f ca="1">IFERROR(__xludf.DUMMYFUNCTION("GOOGLEFINANCE(A60,""marketcap"")"),14801537268)</f>
        <v>14801537268</v>
      </c>
      <c r="I60" s="13">
        <f ca="1">IFERROR(__xludf.DUMMYFUNCTION("GOOGLEFINANCE(A60,""volume"")"),3102095)</f>
        <v>3102095</v>
      </c>
      <c r="J60" s="13">
        <f ca="1">IFERROR(__xludf.DUMMYFUNCTION("GOOGLEFINANCE(A60,""volumeavg"")"),3092675)</f>
        <v>3092675</v>
      </c>
      <c r="K60" s="15">
        <f ca="1">IFERROR(__xludf.DUMMYFUNCTION("GOOGLEFINANCE(A60,""high52"")"),30.32)</f>
        <v>30.32</v>
      </c>
      <c r="L60" s="15">
        <f ca="1">IFERROR(__xludf.DUMMYFUNCTION("GOOGLEFINANCE(A60,""low52"")"),21.88)</f>
        <v>21.88</v>
      </c>
      <c r="M60" s="7">
        <f t="shared" ca="1" si="0"/>
        <v>45379.717931597224</v>
      </c>
    </row>
    <row r="61" spans="1:13">
      <c r="A61" s="4" t="s">
        <v>72</v>
      </c>
      <c r="B61" s="5" t="str">
        <f ca="1">IFERROR(__xludf.DUMMYFUNCTION("GoogleFinance(A61, ""name"")"),"Brown-Forman Corporation Class B")</f>
        <v>Brown-Forman Corporation Class B</v>
      </c>
      <c r="C61" s="15">
        <f ca="1">IFERROR(__xludf.DUMMYFUNCTION("GoogleFinance(A61, ""price"")"),51.62)</f>
        <v>51.62</v>
      </c>
      <c r="D61" s="6">
        <f ca="1">IFERROR(__xludf.DUMMYFUNCTION("GoogleFinance(A61, ""eps"")"),2.02)</f>
        <v>2.02</v>
      </c>
      <c r="E61" s="6">
        <f ca="1">IFERROR(__xludf.DUMMYFUNCTION("GOOGLEFINANCE(A61,""pe"")"),25.62)</f>
        <v>25.62</v>
      </c>
      <c r="F61" s="6">
        <f ca="1">IFERROR(__xludf.DUMMYFUNCTION("GoogleFinance(A61, ""beta"")"),0.79)</f>
        <v>0.79</v>
      </c>
      <c r="G61" s="13">
        <f ca="1">IFERROR(__xludf.DUMMYFUNCTION("GOOGLEFINANCE(A61,""shares"")"),303416000)</f>
        <v>303416000</v>
      </c>
      <c r="H61" s="10">
        <f ca="1">IFERROR(__xludf.DUMMYFUNCTION("GOOGLEFINANCE(A61,""marketcap"")"),24564470835)</f>
        <v>24564470835</v>
      </c>
      <c r="I61" s="13">
        <f ca="1">IFERROR(__xludf.DUMMYFUNCTION("GOOGLEFINANCE(A61,""volume"")"),1765591)</f>
        <v>1765591</v>
      </c>
      <c r="J61" s="13">
        <f ca="1">IFERROR(__xludf.DUMMYFUNCTION("GOOGLEFINANCE(A61,""volumeavg"")"),1815909)</f>
        <v>1815909</v>
      </c>
      <c r="K61" s="15">
        <f ca="1">IFERROR(__xludf.DUMMYFUNCTION("GOOGLEFINANCE(A61,""high52"")"),71.27)</f>
        <v>71.27</v>
      </c>
      <c r="L61" s="15">
        <f ca="1">IFERROR(__xludf.DUMMYFUNCTION("GOOGLEFINANCE(A61,""low52"")"),50.5)</f>
        <v>50.5</v>
      </c>
      <c r="M61" s="7">
        <f t="shared" ca="1" si="0"/>
        <v>45379.717931597224</v>
      </c>
    </row>
    <row r="62" spans="1:13">
      <c r="A62" s="4" t="s">
        <v>73</v>
      </c>
      <c r="B62" s="5" t="str">
        <f ca="1">IFERROR(__xludf.DUMMYFUNCTION("GoogleFinance(A62, ""name"")"),"Bunge Global SA")</f>
        <v>Bunge Global SA</v>
      </c>
      <c r="C62" s="15">
        <f ca="1">IFERROR(__xludf.DUMMYFUNCTION("GoogleFinance(A62, ""price"")"),102.52)</f>
        <v>102.52</v>
      </c>
      <c r="D62" s="6">
        <f ca="1">IFERROR(__xludf.DUMMYFUNCTION("GoogleFinance(A62, ""eps"")"),14.88)</f>
        <v>14.88</v>
      </c>
      <c r="E62" s="6">
        <f ca="1">IFERROR(__xludf.DUMMYFUNCTION("GOOGLEFINANCE(A62,""pe"")"),6.89)</f>
        <v>6.89</v>
      </c>
      <c r="F62" s="6">
        <f ca="1">IFERROR(__xludf.DUMMYFUNCTION("GoogleFinance(A62, ""beta"")"),0.64)</f>
        <v>0.64</v>
      </c>
      <c r="G62" s="13">
        <f ca="1">IFERROR(__xludf.DUMMYFUNCTION("GOOGLEFINANCE(A62,""shares"")"),143418000)</f>
        <v>143418000</v>
      </c>
      <c r="H62" s="10">
        <f ca="1">IFERROR(__xludf.DUMMYFUNCTION("GOOGLEFINANCE(A62,""marketcap"")"),14703223130)</f>
        <v>14703223130</v>
      </c>
      <c r="I62" s="13">
        <f ca="1">IFERROR(__xludf.DUMMYFUNCTION("GOOGLEFINANCE(A62,""volume"")"),1357345)</f>
        <v>1357345</v>
      </c>
      <c r="J62" s="13">
        <f ca="1">IFERROR(__xludf.DUMMYFUNCTION("GOOGLEFINANCE(A62,""volumeavg"")"),1837090)</f>
        <v>1837090</v>
      </c>
      <c r="K62" s="15">
        <f ca="1">IFERROR(__xludf.DUMMYFUNCTION("GOOGLEFINANCE(A62,""high52"")"),116.59)</f>
        <v>116.59</v>
      </c>
      <c r="L62" s="15">
        <f ca="1">IFERROR(__xludf.DUMMYFUNCTION("GOOGLEFINANCE(A62,""low52"")"),86.1)</f>
        <v>86.1</v>
      </c>
      <c r="M62" s="7">
        <f t="shared" ca="1" si="0"/>
        <v>45379.717931597224</v>
      </c>
    </row>
    <row r="63" spans="1:13">
      <c r="A63" s="4" t="s">
        <v>74</v>
      </c>
      <c r="B63" s="5" t="str">
        <f ca="1">IFERROR(__xludf.DUMMYFUNCTION("GoogleFinance(A63, ""name"")"),"Biogen Inc")</f>
        <v>Biogen Inc</v>
      </c>
      <c r="C63" s="15">
        <f ca="1">IFERROR(__xludf.DUMMYFUNCTION("GoogleFinance(A63, ""price"")"),215.63)</f>
        <v>215.63</v>
      </c>
      <c r="D63" s="6">
        <f ca="1">IFERROR(__xludf.DUMMYFUNCTION("GoogleFinance(A63, ""eps"")"),7.97)</f>
        <v>7.97</v>
      </c>
      <c r="E63" s="6">
        <f ca="1">IFERROR(__xludf.DUMMYFUNCTION("GOOGLEFINANCE(A63,""pe"")"),27.04)</f>
        <v>27.04</v>
      </c>
      <c r="F63" s="6">
        <f ca="1">IFERROR(__xludf.DUMMYFUNCTION("GoogleFinance(A63, ""beta"")"),-0.03)</f>
        <v>-0.03</v>
      </c>
      <c r="G63" s="13">
        <f ca="1">IFERROR(__xludf.DUMMYFUNCTION("GOOGLEFINANCE(A63,""shares"")"),145361000)</f>
        <v>145361000</v>
      </c>
      <c r="H63" s="10">
        <f ca="1">IFERROR(__xludf.DUMMYFUNCTION("GOOGLEFINANCE(A63,""marketcap"")"),31344150013)</f>
        <v>31344150013</v>
      </c>
      <c r="I63" s="13">
        <f ca="1">IFERROR(__xludf.DUMMYFUNCTION("GOOGLEFINANCE(A63,""volume"")"),1912268)</f>
        <v>1912268</v>
      </c>
      <c r="J63" s="13">
        <f ca="1">IFERROR(__xludf.DUMMYFUNCTION("GOOGLEFINANCE(A63,""volumeavg"")"),1280421)</f>
        <v>1280421</v>
      </c>
      <c r="K63" s="15">
        <f ca="1">IFERROR(__xludf.DUMMYFUNCTION("GOOGLEFINANCE(A63,""high52"")"),319.76)</f>
        <v>319.76</v>
      </c>
      <c r="L63" s="15">
        <f ca="1">IFERROR(__xludf.DUMMYFUNCTION("GOOGLEFINANCE(A63,""low52"")"),211.02)</f>
        <v>211.02</v>
      </c>
      <c r="M63" s="7">
        <f t="shared" ca="1" si="0"/>
        <v>45379.717931597224</v>
      </c>
    </row>
    <row r="64" spans="1:13">
      <c r="A64" s="4" t="s">
        <v>75</v>
      </c>
      <c r="B64" s="5" t="str">
        <f ca="1">IFERROR(__xludf.DUMMYFUNCTION("GoogleFinance(A64, ""name"")"),"Bio-Rad Laboratories, Inc. Class A Common Stock")</f>
        <v>Bio-Rad Laboratories, Inc. Class A Common Stock</v>
      </c>
      <c r="C64" s="15">
        <f ca="1">IFERROR(__xludf.DUMMYFUNCTION("GoogleFinance(A64, ""price"")"),345.87)</f>
        <v>345.87</v>
      </c>
      <c r="D64" s="6">
        <f ca="1">IFERROR(__xludf.DUMMYFUNCTION("GoogleFinance(A64, ""eps"")"),-21.82)</f>
        <v>-21.82</v>
      </c>
      <c r="E64" s="6" t="str">
        <f ca="1">IFERROR(__xludf.DUMMYFUNCTION("GOOGLEFINANCE(A64,""pe"")"),"#N/A")</f>
        <v>#N/A</v>
      </c>
      <c r="F64" s="6">
        <f ca="1">IFERROR(__xludf.DUMMYFUNCTION("GoogleFinance(A64, ""beta"")"),0.87)</f>
        <v>0.87</v>
      </c>
      <c r="G64" s="13">
        <f ca="1">IFERROR(__xludf.DUMMYFUNCTION("GOOGLEFINANCE(A64,""shares"")"),23423000)</f>
        <v>23423000</v>
      </c>
      <c r="H64" s="10">
        <f ca="1">IFERROR(__xludf.DUMMYFUNCTION("GOOGLEFINANCE(A64,""marketcap"")"),9776136466)</f>
        <v>9776136466</v>
      </c>
      <c r="I64" s="13">
        <f ca="1">IFERROR(__xludf.DUMMYFUNCTION("GOOGLEFINANCE(A64,""volume"")"),137931)</f>
        <v>137931</v>
      </c>
      <c r="J64" s="13">
        <f ca="1">IFERROR(__xludf.DUMMYFUNCTION("GOOGLEFINANCE(A64,""volumeavg"")"),215266)</f>
        <v>215266</v>
      </c>
      <c r="K64" s="15">
        <f ca="1">IFERROR(__xludf.DUMMYFUNCTION("GOOGLEFINANCE(A64,""high52"")"),494.05)</f>
        <v>494.05</v>
      </c>
      <c r="L64" s="15">
        <f ca="1">IFERROR(__xludf.DUMMYFUNCTION("GOOGLEFINANCE(A64,""low52"")"),261.59)</f>
        <v>261.58999999999997</v>
      </c>
      <c r="M64" s="7">
        <f t="shared" ca="1" si="0"/>
        <v>45379.717931597224</v>
      </c>
    </row>
    <row r="65" spans="1:13">
      <c r="A65" s="4" t="s">
        <v>76</v>
      </c>
      <c r="B65" s="5" t="str">
        <f ca="1">IFERROR(__xludf.DUMMYFUNCTION("GoogleFinance(A65, ""name"")"),"Bank of New York Mellon Corp")</f>
        <v>Bank of New York Mellon Corp</v>
      </c>
      <c r="C65" s="15">
        <f ca="1">IFERROR(__xludf.DUMMYFUNCTION("GoogleFinance(A65, ""price"")"),57.62)</f>
        <v>57.62</v>
      </c>
      <c r="D65" s="6">
        <f ca="1">IFERROR(__xludf.DUMMYFUNCTION("GoogleFinance(A65, ""eps"")"),3.87)</f>
        <v>3.87</v>
      </c>
      <c r="E65" s="6">
        <f ca="1">IFERROR(__xludf.DUMMYFUNCTION("GOOGLEFINANCE(A65,""pe"")"),14.88)</f>
        <v>14.88</v>
      </c>
      <c r="F65" s="6">
        <f ca="1">IFERROR(__xludf.DUMMYFUNCTION("GoogleFinance(A65, ""beta"")"),1.11)</f>
        <v>1.1100000000000001</v>
      </c>
      <c r="G65" s="13">
        <f ca="1">IFERROR(__xludf.DUMMYFUNCTION("GOOGLEFINANCE(A65,""shares"")"),754437000)</f>
        <v>754437000</v>
      </c>
      <c r="H65" s="10">
        <f ca="1">IFERROR(__xludf.DUMMYFUNCTION("GOOGLEFINANCE(A65,""marketcap"")"),43380437739)</f>
        <v>43380437739</v>
      </c>
      <c r="I65" s="13">
        <f ca="1">IFERROR(__xludf.DUMMYFUNCTION("GOOGLEFINANCE(A65,""volume"")"),3116295)</f>
        <v>3116295</v>
      </c>
      <c r="J65" s="13">
        <f ca="1">IFERROR(__xludf.DUMMYFUNCTION("GOOGLEFINANCE(A65,""volumeavg"")"),3619366)</f>
        <v>3619366</v>
      </c>
      <c r="K65" s="15">
        <f ca="1">IFERROR(__xludf.DUMMYFUNCTION("GOOGLEFINANCE(A65,""high52"")"),57.89)</f>
        <v>57.89</v>
      </c>
      <c r="L65" s="15">
        <f ca="1">IFERROR(__xludf.DUMMYFUNCTION("GOOGLEFINANCE(A65,""low52"")"),39.65)</f>
        <v>39.65</v>
      </c>
      <c r="M65" s="7">
        <f t="shared" ca="1" si="0"/>
        <v>45379.717931597224</v>
      </c>
    </row>
    <row r="66" spans="1:13">
      <c r="A66" s="4" t="s">
        <v>77</v>
      </c>
      <c r="B66" s="5" t="str">
        <f ca="1">IFERROR(__xludf.DUMMYFUNCTION("GoogleFinance(A66, ""name"")"),"Booking Holdings Inc")</f>
        <v>Booking Holdings Inc</v>
      </c>
      <c r="C66" s="15">
        <f ca="1">IFERROR(__xludf.DUMMYFUNCTION("GoogleFinance(A66, ""price"")"),3627.88)</f>
        <v>3627.88</v>
      </c>
      <c r="D66" s="6">
        <f ca="1">IFERROR(__xludf.DUMMYFUNCTION("GoogleFinance(A66, ""eps"")"),117.41)</f>
        <v>117.41</v>
      </c>
      <c r="E66" s="6">
        <f ca="1">IFERROR(__xludf.DUMMYFUNCTION("GOOGLEFINANCE(A66,""pe"")"),30.9)</f>
        <v>30.9</v>
      </c>
      <c r="F66" s="6">
        <f ca="1">IFERROR(__xludf.DUMMYFUNCTION("GoogleFinance(A66, ""beta"")"),1.4)</f>
        <v>1.4</v>
      </c>
      <c r="G66" s="13">
        <f ca="1">IFERROR(__xludf.DUMMYFUNCTION("GOOGLEFINANCE(A66,""shares"")"),34171000)</f>
        <v>34171000</v>
      </c>
      <c r="H66" s="10">
        <f ca="1">IFERROR(__xludf.DUMMYFUNCTION("GOOGLEFINANCE(A66,""marketcap"")"),123968392311)</f>
        <v>123968392311</v>
      </c>
      <c r="I66" s="13">
        <f ca="1">IFERROR(__xludf.DUMMYFUNCTION("GOOGLEFINANCE(A66,""volume"")"),274095)</f>
        <v>274095</v>
      </c>
      <c r="J66" s="13">
        <f ca="1">IFERROR(__xludf.DUMMYFUNCTION("GOOGLEFINANCE(A66,""volumeavg"")"),330211)</f>
        <v>330211</v>
      </c>
      <c r="K66" s="15">
        <f ca="1">IFERROR(__xludf.DUMMYFUNCTION("GOOGLEFINANCE(A66,""high52"")"),3918)</f>
        <v>3918</v>
      </c>
      <c r="L66" s="15">
        <f ca="1">IFERROR(__xludf.DUMMYFUNCTION("GOOGLEFINANCE(A66,""low52"")"),2456.93)</f>
        <v>2456.9299999999998</v>
      </c>
      <c r="M66" s="7">
        <f t="shared" ca="1" si="0"/>
        <v>45379.717931597224</v>
      </c>
    </row>
    <row r="67" spans="1:13">
      <c r="A67" s="4" t="s">
        <v>78</v>
      </c>
      <c r="B67" s="5" t="str">
        <f ca="1">IFERROR(__xludf.DUMMYFUNCTION("GoogleFinance(A67, ""name"")"),"Baker Hughes Co")</f>
        <v>Baker Hughes Co</v>
      </c>
      <c r="C67" s="15">
        <f ca="1">IFERROR(__xludf.DUMMYFUNCTION("GoogleFinance(A67, ""price"")"),33.5)</f>
        <v>33.5</v>
      </c>
      <c r="D67" s="6">
        <f ca="1">IFERROR(__xludf.DUMMYFUNCTION("GoogleFinance(A67, ""eps"")"),1.91)</f>
        <v>1.91</v>
      </c>
      <c r="E67" s="6">
        <f ca="1">IFERROR(__xludf.DUMMYFUNCTION("GOOGLEFINANCE(A67,""pe"")"),17.5)</f>
        <v>17.5</v>
      </c>
      <c r="F67" s="6">
        <f ca="1">IFERROR(__xludf.DUMMYFUNCTION("GoogleFinance(A67, ""beta"")"),1.41)</f>
        <v>1.41</v>
      </c>
      <c r="G67" s="13">
        <f ca="1">IFERROR(__xludf.DUMMYFUNCTION("GOOGLEFINANCE(A67,""shares"")"),1000881000)</f>
        <v>1000881000</v>
      </c>
      <c r="H67" s="10">
        <f ca="1">IFERROR(__xludf.DUMMYFUNCTION("GOOGLEFINANCE(A67,""marketcap"")"),33529513500)</f>
        <v>33529513500</v>
      </c>
      <c r="I67" s="13">
        <f ca="1">IFERROR(__xludf.DUMMYFUNCTION("GOOGLEFINANCE(A67,""volume"")"),13250257)</f>
        <v>13250257</v>
      </c>
      <c r="J67" s="13">
        <f ca="1">IFERROR(__xludf.DUMMYFUNCTION("GOOGLEFINANCE(A67,""volumeavg"")"),8467768)</f>
        <v>8467768</v>
      </c>
      <c r="K67" s="15">
        <f ca="1">IFERROR(__xludf.DUMMYFUNCTION("GOOGLEFINANCE(A67,""high52"")"),37.58)</f>
        <v>37.58</v>
      </c>
      <c r="L67" s="15">
        <f ca="1">IFERROR(__xludf.DUMMYFUNCTION("GOOGLEFINANCE(A67,""low52"")"),26.81)</f>
        <v>26.81</v>
      </c>
      <c r="M67" s="7">
        <f t="shared" ca="1" si="0"/>
        <v>45379.717931597224</v>
      </c>
    </row>
    <row r="68" spans="1:13">
      <c r="A68" s="4" t="s">
        <v>79</v>
      </c>
      <c r="B68" s="5" t="str">
        <f ca="1">IFERROR(__xludf.DUMMYFUNCTION("GoogleFinance(A68, ""name"")"),"BlackRock Inc")</f>
        <v>BlackRock Inc</v>
      </c>
      <c r="C68" s="15">
        <f ca="1">IFERROR(__xludf.DUMMYFUNCTION("GoogleFinance(A68, ""price"")"),833.7)</f>
        <v>833.7</v>
      </c>
      <c r="D68" s="6">
        <f ca="1">IFERROR(__xludf.DUMMYFUNCTION("GoogleFinance(A68, ""eps"")"),36.51)</f>
        <v>36.51</v>
      </c>
      <c r="E68" s="6">
        <f ca="1">IFERROR(__xludf.DUMMYFUNCTION("GOOGLEFINANCE(A68,""pe"")"),22.84)</f>
        <v>22.84</v>
      </c>
      <c r="F68" s="6">
        <f ca="1">IFERROR(__xludf.DUMMYFUNCTION("GoogleFinance(A68, ""beta"")"),1.37)</f>
        <v>1.37</v>
      </c>
      <c r="G68" s="13">
        <f ca="1">IFERROR(__xludf.DUMMYFUNCTION("GOOGLEFINANCE(A68,""shares"")"),148942000)</f>
        <v>148942000</v>
      </c>
      <c r="H68" s="10">
        <f ca="1">IFERROR(__xludf.DUMMYFUNCTION("GOOGLEFINANCE(A68,""marketcap"")"),124173364068)</f>
        <v>124173364068</v>
      </c>
      <c r="I68" s="13">
        <f ca="1">IFERROR(__xludf.DUMMYFUNCTION("GOOGLEFINANCE(A68,""volume"")"),532094)</f>
        <v>532094</v>
      </c>
      <c r="J68" s="13">
        <f ca="1">IFERROR(__xludf.DUMMYFUNCTION("GOOGLEFINANCE(A68,""volumeavg"")"),546165)</f>
        <v>546165</v>
      </c>
      <c r="K68" s="15">
        <f ca="1">IFERROR(__xludf.DUMMYFUNCTION("GOOGLEFINANCE(A68,""high52"")"),845)</f>
        <v>845</v>
      </c>
      <c r="L68" s="15">
        <f ca="1">IFERROR(__xludf.DUMMYFUNCTION("GOOGLEFINANCE(A68,""low52"")"),596.18)</f>
        <v>596.17999999999995</v>
      </c>
      <c r="M68" s="7">
        <f t="shared" ca="1" si="0"/>
        <v>45379.717931597224</v>
      </c>
    </row>
    <row r="69" spans="1:13">
      <c r="A69" s="4" t="s">
        <v>80</v>
      </c>
      <c r="B69" s="5" t="str">
        <f ca="1">IFERROR(__xludf.DUMMYFUNCTION("GoogleFinance(A69, ""name"")"),"Bristol-Myers Squibb Co")</f>
        <v>Bristol-Myers Squibb Co</v>
      </c>
      <c r="C69" s="15">
        <f ca="1">IFERROR(__xludf.DUMMYFUNCTION("GoogleFinance(A69, ""price"")"),54.23)</f>
        <v>54.23</v>
      </c>
      <c r="D69" s="6">
        <f ca="1">IFERROR(__xludf.DUMMYFUNCTION("GoogleFinance(A69, ""eps"")"),3.86)</f>
        <v>3.86</v>
      </c>
      <c r="E69" s="6">
        <f ca="1">IFERROR(__xludf.DUMMYFUNCTION("GOOGLEFINANCE(A69,""pe"")"),14.04)</f>
        <v>14.04</v>
      </c>
      <c r="F69" s="6">
        <f ca="1">IFERROR(__xludf.DUMMYFUNCTION("GoogleFinance(A69, ""beta"")"),0.38)</f>
        <v>0.38</v>
      </c>
      <c r="G69" s="13">
        <f ca="1">IFERROR(__xludf.DUMMYFUNCTION("GOOGLEFINANCE(A69,""shares"")"),2022193000)</f>
        <v>2022193000</v>
      </c>
      <c r="H69" s="10">
        <f ca="1">IFERROR(__xludf.DUMMYFUNCTION("GOOGLEFINANCE(A69,""marketcap"")"),109663525464)</f>
        <v>109663525464</v>
      </c>
      <c r="I69" s="13">
        <f ca="1">IFERROR(__xludf.DUMMYFUNCTION("GOOGLEFINANCE(A69,""volume"")"),14347657)</f>
        <v>14347657</v>
      </c>
      <c r="J69" s="13">
        <f ca="1">IFERROR(__xludf.DUMMYFUNCTION("GOOGLEFINANCE(A69,""volumeavg"")"),17185293)</f>
        <v>17185293</v>
      </c>
      <c r="K69" s="15">
        <f ca="1">IFERROR(__xludf.DUMMYFUNCTION("GOOGLEFINANCE(A69,""high52"")"),71.07)</f>
        <v>71.069999999999993</v>
      </c>
      <c r="L69" s="15">
        <f ca="1">IFERROR(__xludf.DUMMYFUNCTION("GOOGLEFINANCE(A69,""low52"")"),47.58)</f>
        <v>47.58</v>
      </c>
      <c r="M69" s="7">
        <f t="shared" ca="1" si="0"/>
        <v>45379.717931597224</v>
      </c>
    </row>
    <row r="70" spans="1:13">
      <c r="A70" s="4" t="s">
        <v>81</v>
      </c>
      <c r="B70" s="5" t="str">
        <f ca="1">IFERROR(__xludf.DUMMYFUNCTION("GoogleFinance(A70, ""name"")"),"Broadridge Financial Solutions Inc")</f>
        <v>Broadridge Financial Solutions Inc</v>
      </c>
      <c r="C70" s="15">
        <f ca="1">IFERROR(__xludf.DUMMYFUNCTION("GoogleFinance(A70, ""price"")"),204.86)</f>
        <v>204.86</v>
      </c>
      <c r="D70" s="6">
        <f ca="1">IFERROR(__xludf.DUMMYFUNCTION("GoogleFinance(A70, ""eps"")"),5.74)</f>
        <v>5.74</v>
      </c>
      <c r="E70" s="6">
        <f ca="1">IFERROR(__xludf.DUMMYFUNCTION("GOOGLEFINANCE(A70,""pe"")"),35.71)</f>
        <v>35.71</v>
      </c>
      <c r="F70" s="6">
        <f ca="1">IFERROR(__xludf.DUMMYFUNCTION("GoogleFinance(A70, ""beta"")"),0.99)</f>
        <v>0.99</v>
      </c>
      <c r="G70" s="13">
        <f ca="1">IFERROR(__xludf.DUMMYFUNCTION("GOOGLEFINANCE(A70,""shares"")"),117772000)</f>
        <v>117772000</v>
      </c>
      <c r="H70" s="10">
        <f ca="1">IFERROR(__xludf.DUMMYFUNCTION("GOOGLEFINANCE(A70,""marketcap"")"),24126812963)</f>
        <v>24126812963</v>
      </c>
      <c r="I70" s="13">
        <f ca="1">IFERROR(__xludf.DUMMYFUNCTION("GOOGLEFINANCE(A70,""volume"")"),368236)</f>
        <v>368236</v>
      </c>
      <c r="J70" s="13">
        <f ca="1">IFERROR(__xludf.DUMMYFUNCTION("GOOGLEFINANCE(A70,""volumeavg"")"),482896)</f>
        <v>482896</v>
      </c>
      <c r="K70" s="15">
        <f ca="1">IFERROR(__xludf.DUMMYFUNCTION("GOOGLEFINANCE(A70,""high52"")"),210.24)</f>
        <v>210.24</v>
      </c>
      <c r="L70" s="15">
        <f ca="1">IFERROR(__xludf.DUMMYFUNCTION("GOOGLEFINANCE(A70,""low52"")"),139.35)</f>
        <v>139.35</v>
      </c>
      <c r="M70" s="7">
        <f t="shared" ca="1" si="0"/>
        <v>45379.717931597224</v>
      </c>
    </row>
    <row r="71" spans="1:13">
      <c r="A71" s="4" t="s">
        <v>82</v>
      </c>
      <c r="B71" s="5" t="str">
        <f ca="1">IFERROR(__xludf.DUMMYFUNCTION("GoogleFinance(A71, ""name"")"),"Berkshire Hathaway Inc Class B")</f>
        <v>Berkshire Hathaway Inc Class B</v>
      </c>
      <c r="C71" s="15">
        <f ca="1">IFERROR(__xludf.DUMMYFUNCTION("GoogleFinance(A71, ""price"")"),420.52)</f>
        <v>420.52</v>
      </c>
      <c r="D71" s="6">
        <f ca="1">IFERROR(__xludf.DUMMYFUNCTION("GoogleFinance(A71, ""eps"")"),66411.98)</f>
        <v>66411.98</v>
      </c>
      <c r="E71" s="6">
        <f ca="1">IFERROR(__xludf.DUMMYFUNCTION("GOOGLEFINANCE(A71,""pe"")"),0.01)</f>
        <v>0.01</v>
      </c>
      <c r="F71" s="6">
        <f ca="1">IFERROR(__xludf.DUMMYFUNCTION("GoogleFinance(A71, ""beta"")"),0.89)</f>
        <v>0.89</v>
      </c>
      <c r="G71" s="13">
        <f ca="1">IFERROR(__xludf.DUMMYFUNCTION("GOOGLEFINANCE(A71,""shares"")"),1308070000)</f>
        <v>1308070000</v>
      </c>
      <c r="H71" s="10">
        <f ca="1">IFERROR(__xludf.DUMMYFUNCTION("GOOGLEFINANCE(A71,""marketcap"")"),908325844680)</f>
        <v>908325844680</v>
      </c>
      <c r="I71" s="13">
        <f ca="1">IFERROR(__xludf.DUMMYFUNCTION("GOOGLEFINANCE(A71,""volume"")"),4378654)</f>
        <v>4378654</v>
      </c>
      <c r="J71" s="13">
        <f ca="1">IFERROR(__xludf.DUMMYFUNCTION("GOOGLEFINANCE(A71,""volumeavg"")"),3649136)</f>
        <v>3649136</v>
      </c>
      <c r="K71" s="15">
        <f ca="1">IFERROR(__xludf.DUMMYFUNCTION("GOOGLEFINANCE(A71,""high52"")"),430)</f>
        <v>430</v>
      </c>
      <c r="L71" s="15">
        <f ca="1">IFERROR(__xludf.DUMMYFUNCTION("GOOGLEFINANCE(A71,""low52"")"),302.58)</f>
        <v>302.58</v>
      </c>
      <c r="M71" s="7">
        <f t="shared" ca="1" si="0"/>
        <v>45379.717931597224</v>
      </c>
    </row>
    <row r="72" spans="1:13">
      <c r="A72" s="4" t="s">
        <v>83</v>
      </c>
      <c r="B72" s="5" t="str">
        <f ca="1">IFERROR(__xludf.DUMMYFUNCTION("GoogleFinance(A72, ""name"")"),"Brown &amp; Brown, Inc.")</f>
        <v>Brown &amp; Brown, Inc.</v>
      </c>
      <c r="C72" s="15">
        <f ca="1">IFERROR(__xludf.DUMMYFUNCTION("GoogleFinance(A72, ""price"")"),87.54)</f>
        <v>87.54</v>
      </c>
      <c r="D72" s="6">
        <f ca="1">IFERROR(__xludf.DUMMYFUNCTION("GoogleFinance(A72, ""eps"")"),3.05)</f>
        <v>3.05</v>
      </c>
      <c r="E72" s="6">
        <f ca="1">IFERROR(__xludf.DUMMYFUNCTION("GOOGLEFINANCE(A72,""pe"")"),28.68)</f>
        <v>28.68</v>
      </c>
      <c r="F72" s="6">
        <f ca="1">IFERROR(__xludf.DUMMYFUNCTION("GoogleFinance(A72, ""beta"")"),0.78)</f>
        <v>0.78</v>
      </c>
      <c r="G72" s="13">
        <f ca="1">IFERROR(__xludf.DUMMYFUNCTION("GOOGLEFINANCE(A72,""shares"")"),285802000)</f>
        <v>285802000</v>
      </c>
      <c r="H72" s="10">
        <f ca="1">IFERROR(__xludf.DUMMYFUNCTION("GOOGLEFINANCE(A72,""marketcap"")"),24978725139)</f>
        <v>24978725139</v>
      </c>
      <c r="I72" s="13">
        <f ca="1">IFERROR(__xludf.DUMMYFUNCTION("GOOGLEFINANCE(A72,""volume"")"),1072320)</f>
        <v>1072320</v>
      </c>
      <c r="J72" s="13">
        <f ca="1">IFERROR(__xludf.DUMMYFUNCTION("GOOGLEFINANCE(A72,""volumeavg"")"),1074662)</f>
        <v>1074662</v>
      </c>
      <c r="K72" s="15">
        <f ca="1">IFERROR(__xludf.DUMMYFUNCTION("GOOGLEFINANCE(A72,""high52"")"),87.99)</f>
        <v>87.99</v>
      </c>
      <c r="L72" s="15">
        <f ca="1">IFERROR(__xludf.DUMMYFUNCTION("GOOGLEFINANCE(A72,""low52"")"),55.99)</f>
        <v>55.99</v>
      </c>
      <c r="M72" s="7">
        <f t="shared" ca="1" si="0"/>
        <v>45379.717931597224</v>
      </c>
    </row>
    <row r="73" spans="1:13">
      <c r="A73" s="4" t="s">
        <v>84</v>
      </c>
      <c r="B73" s="5" t="str">
        <f ca="1">IFERROR(__xludf.DUMMYFUNCTION("GoogleFinance(A73, ""name"")"),"Boston Scientific Corporation")</f>
        <v>Boston Scientific Corporation</v>
      </c>
      <c r="C73" s="15">
        <f ca="1">IFERROR(__xludf.DUMMYFUNCTION("GoogleFinance(A73, ""price"")"),68.49)</f>
        <v>68.489999999999995</v>
      </c>
      <c r="D73" s="6">
        <f ca="1">IFERROR(__xludf.DUMMYFUNCTION("GoogleFinance(A73, ""eps"")"),1.07)</f>
        <v>1.07</v>
      </c>
      <c r="E73" s="6">
        <f ca="1">IFERROR(__xludf.DUMMYFUNCTION("GOOGLEFINANCE(A73,""pe"")"),63.84)</f>
        <v>63.84</v>
      </c>
      <c r="F73" s="6">
        <f ca="1">IFERROR(__xludf.DUMMYFUNCTION("GoogleFinance(A73, ""beta"")"),0.78)</f>
        <v>0.78</v>
      </c>
      <c r="G73" s="13">
        <f ca="1">IFERROR(__xludf.DUMMYFUNCTION("GOOGLEFINANCE(A73,""shares"")"),1467096000)</f>
        <v>1467096000</v>
      </c>
      <c r="H73" s="10">
        <f ca="1">IFERROR(__xludf.DUMMYFUNCTION("GOOGLEFINANCE(A73,""marketcap"")"),100673105409)</f>
        <v>100673105409</v>
      </c>
      <c r="I73" s="13">
        <f ca="1">IFERROR(__xludf.DUMMYFUNCTION("GOOGLEFINANCE(A73,""volume"")"),6533525)</f>
        <v>6533525</v>
      </c>
      <c r="J73" s="13">
        <f ca="1">IFERROR(__xludf.DUMMYFUNCTION("GOOGLEFINANCE(A73,""volumeavg"")"),5864537)</f>
        <v>5864537</v>
      </c>
      <c r="K73" s="15">
        <f ca="1">IFERROR(__xludf.DUMMYFUNCTION("GOOGLEFINANCE(A73,""high52"")"),68.92)</f>
        <v>68.92</v>
      </c>
      <c r="L73" s="15">
        <f ca="1">IFERROR(__xludf.DUMMYFUNCTION("GOOGLEFINANCE(A73,""low52"")"),48.35)</f>
        <v>48.35</v>
      </c>
      <c r="M73" s="7">
        <f t="shared" ca="1" si="0"/>
        <v>45379.717931597224</v>
      </c>
    </row>
    <row r="74" spans="1:13">
      <c r="A74" s="4" t="s">
        <v>85</v>
      </c>
      <c r="B74" s="5" t="str">
        <f ca="1">IFERROR(__xludf.DUMMYFUNCTION("GoogleFinance(A74, ""name"")"),"BorgWarner Inc.")</f>
        <v>BorgWarner Inc.</v>
      </c>
      <c r="C74" s="15">
        <f ca="1">IFERROR(__xludf.DUMMYFUNCTION("GoogleFinance(A74, ""price"")"),34.74)</f>
        <v>34.74</v>
      </c>
      <c r="D74" s="6">
        <f ca="1">IFERROR(__xludf.DUMMYFUNCTION("GoogleFinance(A74, ""eps"")"),2.7)</f>
        <v>2.7</v>
      </c>
      <c r="E74" s="6">
        <f ca="1">IFERROR(__xludf.DUMMYFUNCTION("GOOGLEFINANCE(A74,""pe"")"),12.88)</f>
        <v>12.88</v>
      </c>
      <c r="F74" s="6">
        <f ca="1">IFERROR(__xludf.DUMMYFUNCTION("GoogleFinance(A74, ""beta"")"),1.29)</f>
        <v>1.29</v>
      </c>
      <c r="G74" s="13">
        <f ca="1">IFERROR(__xludf.DUMMYFUNCTION("GOOGLEFINANCE(A74,""shares"")"),229780000)</f>
        <v>229780000</v>
      </c>
      <c r="H74" s="10">
        <f ca="1">IFERROR(__xludf.DUMMYFUNCTION("GOOGLEFINANCE(A74,""marketcap"")"),8023404879)</f>
        <v>8023404879</v>
      </c>
      <c r="I74" s="13">
        <f ca="1">IFERROR(__xludf.DUMMYFUNCTION("GOOGLEFINANCE(A74,""volume"")"),3562212)</f>
        <v>3562212</v>
      </c>
      <c r="J74" s="13">
        <f ca="1">IFERROR(__xludf.DUMMYFUNCTION("GOOGLEFINANCE(A74,""volumeavg"")"),3126969)</f>
        <v>3126969</v>
      </c>
      <c r="K74" s="15">
        <f ca="1">IFERROR(__xludf.DUMMYFUNCTION("GOOGLEFINANCE(A74,""high52"")"),47.05)</f>
        <v>47.05</v>
      </c>
      <c r="L74" s="15">
        <f ca="1">IFERROR(__xludf.DUMMYFUNCTION("GOOGLEFINANCE(A74,""low52"")"),29.51)</f>
        <v>29.51</v>
      </c>
      <c r="M74" s="7">
        <f t="shared" ca="1" si="0"/>
        <v>45379.717931597224</v>
      </c>
    </row>
    <row r="75" spans="1:13">
      <c r="A75" s="4" t="s">
        <v>86</v>
      </c>
      <c r="B75" s="5" t="str">
        <f ca="1">IFERROR(__xludf.DUMMYFUNCTION("GoogleFinance(A75, ""name"")"),"Blackstone Inc")</f>
        <v>Blackstone Inc</v>
      </c>
      <c r="C75" s="15">
        <f ca="1">IFERROR(__xludf.DUMMYFUNCTION("GoogleFinance(A75, ""price"")"),131.37)</f>
        <v>131.37</v>
      </c>
      <c r="D75" s="6">
        <f ca="1">IFERROR(__xludf.DUMMYFUNCTION("GoogleFinance(A75, ""eps"")"),1.84)</f>
        <v>1.84</v>
      </c>
      <c r="E75" s="6">
        <f ca="1">IFERROR(__xludf.DUMMYFUNCTION("GOOGLEFINANCE(A75,""pe"")"),71.35)</f>
        <v>71.349999999999994</v>
      </c>
      <c r="F75" s="6">
        <f ca="1">IFERROR(__xludf.DUMMYFUNCTION("GoogleFinance(A75, ""beta"")"),1.53)</f>
        <v>1.53</v>
      </c>
      <c r="G75" s="13">
        <f ca="1">IFERROR(__xludf.DUMMYFUNCTION("GOOGLEFINANCE(A75,""shares"")"),714644000)</f>
        <v>714644000</v>
      </c>
      <c r="H75" s="10">
        <f ca="1">IFERROR(__xludf.DUMMYFUNCTION("GOOGLEFINANCE(A75,""marketcap"")"),161053702363)</f>
        <v>161053702363</v>
      </c>
      <c r="I75" s="13">
        <f ca="1">IFERROR(__xludf.DUMMYFUNCTION("GOOGLEFINANCE(A75,""volume"")"),3132550)</f>
        <v>3132550</v>
      </c>
      <c r="J75" s="13">
        <f ca="1">IFERROR(__xludf.DUMMYFUNCTION("GOOGLEFINANCE(A75,""volumeavg"")"),3812540)</f>
        <v>3812540</v>
      </c>
      <c r="K75" s="15">
        <f ca="1">IFERROR(__xludf.DUMMYFUNCTION("GOOGLEFINANCE(A75,""high52"")"),133.56)</f>
        <v>133.56</v>
      </c>
      <c r="L75" s="15">
        <f ca="1">IFERROR(__xludf.DUMMYFUNCTION("GOOGLEFINANCE(A75,""low52"")"),79.29)</f>
        <v>79.290000000000006</v>
      </c>
      <c r="M75" s="7">
        <f t="shared" ca="1" si="0"/>
        <v>45379.717931597224</v>
      </c>
    </row>
    <row r="76" spans="1:13">
      <c r="A76" s="4" t="s">
        <v>87</v>
      </c>
      <c r="B76" s="5" t="str">
        <f ca="1">IFERROR(__xludf.DUMMYFUNCTION("GoogleFinance(A76, ""name"")"),"Boston Properties, Inc.")</f>
        <v>Boston Properties, Inc.</v>
      </c>
      <c r="C76" s="15">
        <f ca="1">IFERROR(__xludf.DUMMYFUNCTION("GoogleFinance(A76, ""price"")"),65.31)</f>
        <v>65.31</v>
      </c>
      <c r="D76" s="6">
        <f ca="1">IFERROR(__xludf.DUMMYFUNCTION("GoogleFinance(A76, ""eps"")"),1.21)</f>
        <v>1.21</v>
      </c>
      <c r="E76" s="6">
        <f ca="1">IFERROR(__xludf.DUMMYFUNCTION("GOOGLEFINANCE(A76,""pe"")"),53.97)</f>
        <v>53.97</v>
      </c>
      <c r="F76" s="6">
        <f ca="1">IFERROR(__xludf.DUMMYFUNCTION("GoogleFinance(A76, ""beta"")"),1.13)</f>
        <v>1.1299999999999999</v>
      </c>
      <c r="G76" s="13">
        <f ca="1">IFERROR(__xludf.DUMMYFUNCTION("GOOGLEFINANCE(A76,""shares"")"),157011000)</f>
        <v>157011000</v>
      </c>
      <c r="H76" s="10">
        <f ca="1">IFERROR(__xludf.DUMMYFUNCTION("GOOGLEFINANCE(A76,""marketcap"")"),10254381495)</f>
        <v>10254381495</v>
      </c>
      <c r="I76" s="13">
        <f ca="1">IFERROR(__xludf.DUMMYFUNCTION("GOOGLEFINANCE(A76,""volume"")"),1834113)</f>
        <v>1834113</v>
      </c>
      <c r="J76" s="13">
        <f ca="1">IFERROR(__xludf.DUMMYFUNCTION("GOOGLEFINANCE(A76,""volumeavg"")"),1313217)</f>
        <v>1313217</v>
      </c>
      <c r="K76" s="15">
        <f ca="1">IFERROR(__xludf.DUMMYFUNCTION("GOOGLEFINANCE(A76,""high52"")"),73.97)</f>
        <v>73.97</v>
      </c>
      <c r="L76" s="15">
        <f ca="1">IFERROR(__xludf.DUMMYFUNCTION("GOOGLEFINANCE(A76,""low52"")"),46.8)</f>
        <v>46.8</v>
      </c>
      <c r="M76" s="7">
        <f t="shared" ca="1" si="0"/>
        <v>45379.717931597224</v>
      </c>
    </row>
    <row r="77" spans="1:13">
      <c r="A77" s="4" t="s">
        <v>88</v>
      </c>
      <c r="B77" s="5" t="str">
        <f ca="1">IFERROR(__xludf.DUMMYFUNCTION("GoogleFinance(A77, ""name"")"),"Citigroup Inc")</f>
        <v>Citigroup Inc</v>
      </c>
      <c r="C77" s="15">
        <f ca="1">IFERROR(__xludf.DUMMYFUNCTION("GoogleFinance(A77, ""price"")"),63.24)</f>
        <v>63.24</v>
      </c>
      <c r="D77" s="6">
        <f ca="1">IFERROR(__xludf.DUMMYFUNCTION("GoogleFinance(A77, ""eps"")"),4.04)</f>
        <v>4.04</v>
      </c>
      <c r="E77" s="6">
        <f ca="1">IFERROR(__xludf.DUMMYFUNCTION("GOOGLEFINANCE(A77,""pe"")"),15.64)</f>
        <v>15.64</v>
      </c>
      <c r="F77" s="6">
        <f ca="1">IFERROR(__xludf.DUMMYFUNCTION("GoogleFinance(A77, ""beta"")"),1.5)</f>
        <v>1.5</v>
      </c>
      <c r="G77" s="13">
        <f ca="1">IFERROR(__xludf.DUMMYFUNCTION("GOOGLEFINANCE(A77,""shares"")"),1911367000)</f>
        <v>1911367000</v>
      </c>
      <c r="H77" s="10">
        <f ca="1">IFERROR(__xludf.DUMMYFUNCTION("GOOGLEFINANCE(A77,""marketcap"")"),120874852288)</f>
        <v>120874852288</v>
      </c>
      <c r="I77" s="13">
        <f ca="1">IFERROR(__xludf.DUMMYFUNCTION("GOOGLEFINANCE(A77,""volume"")"),19005550)</f>
        <v>19005550</v>
      </c>
      <c r="J77" s="13">
        <f ca="1">IFERROR(__xludf.DUMMYFUNCTION("GOOGLEFINANCE(A77,""volumeavg"")"),14555314)</f>
        <v>14555314</v>
      </c>
      <c r="K77" s="15">
        <f ca="1">IFERROR(__xludf.DUMMYFUNCTION("GOOGLEFINANCE(A77,""high52"")"),63.37)</f>
        <v>63.37</v>
      </c>
      <c r="L77" s="15">
        <f ca="1">IFERROR(__xludf.DUMMYFUNCTION("GOOGLEFINANCE(A77,""low52"")"),38.17)</f>
        <v>38.17</v>
      </c>
      <c r="M77" s="7">
        <f t="shared" ca="1" si="0"/>
        <v>45379.717931597224</v>
      </c>
    </row>
    <row r="78" spans="1:13">
      <c r="A78" s="4" t="s">
        <v>89</v>
      </c>
      <c r="B78" s="5" t="str">
        <f ca="1">IFERROR(__xludf.DUMMYFUNCTION("GoogleFinance(A78, ""name"")"),"Conagra Brands Inc")</f>
        <v>Conagra Brands Inc</v>
      </c>
      <c r="C78" s="15">
        <f ca="1">IFERROR(__xludf.DUMMYFUNCTION("GoogleFinance(A78, ""price"")"),29.64)</f>
        <v>29.64</v>
      </c>
      <c r="D78" s="6">
        <f ca="1">IFERROR(__xludf.DUMMYFUNCTION("GoogleFinance(A78, ""eps"")"),2.05)</f>
        <v>2.0499999999999998</v>
      </c>
      <c r="E78" s="6">
        <f ca="1">IFERROR(__xludf.DUMMYFUNCTION("GOOGLEFINANCE(A78,""pe"")"),14.43)</f>
        <v>14.43</v>
      </c>
      <c r="F78" s="6">
        <f ca="1">IFERROR(__xludf.DUMMYFUNCTION("GoogleFinance(A78, ""beta"")"),0.42)</f>
        <v>0.42</v>
      </c>
      <c r="G78" s="13">
        <f ca="1">IFERROR(__xludf.DUMMYFUNCTION("GOOGLEFINANCE(A78,""shares"")"),478005000)</f>
        <v>478005000</v>
      </c>
      <c r="H78" s="10">
        <f ca="1">IFERROR(__xludf.DUMMYFUNCTION("GOOGLEFINANCE(A78,""marketcap"")"),14168067908)</f>
        <v>14168067908</v>
      </c>
      <c r="I78" s="13">
        <f ca="1">IFERROR(__xludf.DUMMYFUNCTION("GOOGLEFINANCE(A78,""volume"")"),4605032)</f>
        <v>4605032</v>
      </c>
      <c r="J78" s="13">
        <f ca="1">IFERROR(__xludf.DUMMYFUNCTION("GOOGLEFINANCE(A78,""volumeavg"")"),4131624)</f>
        <v>4131624</v>
      </c>
      <c r="K78" s="15">
        <f ca="1">IFERROR(__xludf.DUMMYFUNCTION("GOOGLEFINANCE(A78,""high52"")"),38.94)</f>
        <v>38.94</v>
      </c>
      <c r="L78" s="15">
        <f ca="1">IFERROR(__xludf.DUMMYFUNCTION("GOOGLEFINANCE(A78,""low52"")"),25.16)</f>
        <v>25.16</v>
      </c>
      <c r="M78" s="7">
        <f t="shared" ca="1" si="0"/>
        <v>45379.717931597224</v>
      </c>
    </row>
    <row r="79" spans="1:13">
      <c r="A79" s="4" t="s">
        <v>90</v>
      </c>
      <c r="B79" s="5" t="str">
        <f ca="1">IFERROR(__xludf.DUMMYFUNCTION("GoogleFinance(A79, ""name"")"),"Cardinal Health Inc")</f>
        <v>Cardinal Health Inc</v>
      </c>
      <c r="C79" s="15">
        <f ca="1">IFERROR(__xludf.DUMMYFUNCTION("GoogleFinance(A79, ""price"")"),111.9)</f>
        <v>111.9</v>
      </c>
      <c r="D79" s="6">
        <f ca="1">IFERROR(__xludf.DUMMYFUNCTION("GoogleFinance(A79, ""eps"")"),2.54)</f>
        <v>2.54</v>
      </c>
      <c r="E79" s="6">
        <f ca="1">IFERROR(__xludf.DUMMYFUNCTION("GOOGLEFINANCE(A79,""pe"")"),44.03)</f>
        <v>44.03</v>
      </c>
      <c r="F79" s="6">
        <f ca="1">IFERROR(__xludf.DUMMYFUNCTION("GoogleFinance(A79, ""beta"")"),0.68)</f>
        <v>0.68</v>
      </c>
      <c r="G79" s="13">
        <f ca="1">IFERROR(__xludf.DUMMYFUNCTION("GOOGLEFINANCE(A79,""shares"")"),243233000)</f>
        <v>243233000</v>
      </c>
      <c r="H79" s="10">
        <f ca="1">IFERROR(__xludf.DUMMYFUNCTION("GOOGLEFINANCE(A79,""marketcap"")"),27217784261)</f>
        <v>27217784261</v>
      </c>
      <c r="I79" s="13">
        <f ca="1">IFERROR(__xludf.DUMMYFUNCTION("GOOGLEFINANCE(A79,""volume"")"),1655424)</f>
        <v>1655424</v>
      </c>
      <c r="J79" s="13">
        <f ca="1">IFERROR(__xludf.DUMMYFUNCTION("GOOGLEFINANCE(A79,""volumeavg"")"),2514912)</f>
        <v>2514912</v>
      </c>
      <c r="K79" s="15">
        <f ca="1">IFERROR(__xludf.DUMMYFUNCTION("GOOGLEFINANCE(A79,""high52"")"),116.04)</f>
        <v>116.04</v>
      </c>
      <c r="L79" s="15">
        <f ca="1">IFERROR(__xludf.DUMMYFUNCTION("GOOGLEFINANCE(A79,""low52"")"),72.52)</f>
        <v>72.52</v>
      </c>
      <c r="M79" s="7">
        <f t="shared" ca="1" si="0"/>
        <v>45379.717931597224</v>
      </c>
    </row>
    <row r="80" spans="1:13">
      <c r="A80" s="4" t="s">
        <v>91</v>
      </c>
      <c r="B80" s="5" t="str">
        <f ca="1">IFERROR(__xludf.DUMMYFUNCTION("GoogleFinance(A80, ""name"")"),"Carrier Global Corp")</f>
        <v>Carrier Global Corp</v>
      </c>
      <c r="C80" s="15">
        <f ca="1">IFERROR(__xludf.DUMMYFUNCTION("GoogleFinance(A80, ""price"")"),58.13)</f>
        <v>58.13</v>
      </c>
      <c r="D80" s="6">
        <f ca="1">IFERROR(__xludf.DUMMYFUNCTION("GoogleFinance(A80, ""eps"")"),1.58)</f>
        <v>1.58</v>
      </c>
      <c r="E80" s="6">
        <f ca="1">IFERROR(__xludf.DUMMYFUNCTION("GOOGLEFINANCE(A80,""pe"")"),36.76)</f>
        <v>36.76</v>
      </c>
      <c r="F80" s="6">
        <f ca="1">IFERROR(__xludf.DUMMYFUNCTION("GoogleFinance(A80, ""beta"")"),1.25)</f>
        <v>1.25</v>
      </c>
      <c r="G80" s="13">
        <f ca="1">IFERROR(__xludf.DUMMYFUNCTION("GOOGLEFINANCE(A80,""shares"")"),900103000)</f>
        <v>900103000</v>
      </c>
      <c r="H80" s="10">
        <f ca="1">IFERROR(__xludf.DUMMYFUNCTION("GOOGLEFINANCE(A80,""marketcap"")"),52322982538)</f>
        <v>52322982538</v>
      </c>
      <c r="I80" s="13">
        <f ca="1">IFERROR(__xludf.DUMMYFUNCTION("GOOGLEFINANCE(A80,""volume"")"),2819604)</f>
        <v>2819604</v>
      </c>
      <c r="J80" s="13">
        <f ca="1">IFERROR(__xludf.DUMMYFUNCTION("GOOGLEFINANCE(A80,""volumeavg"")"),5592632)</f>
        <v>5592632</v>
      </c>
      <c r="K80" s="15">
        <f ca="1">IFERROR(__xludf.DUMMYFUNCTION("GOOGLEFINANCE(A80,""high52"")"),60.87)</f>
        <v>60.87</v>
      </c>
      <c r="L80" s="15">
        <f ca="1">IFERROR(__xludf.DUMMYFUNCTION("GOOGLEFINANCE(A80,""low52"")"),40.28)</f>
        <v>40.28</v>
      </c>
      <c r="M80" s="7">
        <f t="shared" ca="1" si="0"/>
        <v>45379.717931597224</v>
      </c>
    </row>
    <row r="81" spans="1:13">
      <c r="A81" s="4" t="s">
        <v>92</v>
      </c>
      <c r="B81" s="5" t="str">
        <f ca="1">IFERROR(__xludf.DUMMYFUNCTION("GoogleFinance(A81, ""name"")"),"Caterpillar Inc.")</f>
        <v>Caterpillar Inc.</v>
      </c>
      <c r="C81" s="15">
        <f ca="1">IFERROR(__xludf.DUMMYFUNCTION("GoogleFinance(A81, ""price"")"),366.43)</f>
        <v>366.43</v>
      </c>
      <c r="D81" s="6">
        <f ca="1">IFERROR(__xludf.DUMMYFUNCTION("GoogleFinance(A81, ""eps"")"),20.12)</f>
        <v>20.12</v>
      </c>
      <c r="E81" s="6">
        <f ca="1">IFERROR(__xludf.DUMMYFUNCTION("GOOGLEFINANCE(A81,""pe"")"),18.21)</f>
        <v>18.21</v>
      </c>
      <c r="F81" s="6">
        <f ca="1">IFERROR(__xludf.DUMMYFUNCTION("GoogleFinance(A81, ""beta"")"),1.16)</f>
        <v>1.1599999999999999</v>
      </c>
      <c r="G81" s="13">
        <f ca="1">IFERROR(__xludf.DUMMYFUNCTION("GOOGLEFINANCE(A81,""shares"")"),499377000)</f>
        <v>499377000</v>
      </c>
      <c r="H81" s="10">
        <f ca="1">IFERROR(__xludf.DUMMYFUNCTION("GOOGLEFINANCE(A81,""marketcap"")"),182986783738)</f>
        <v>182986783738</v>
      </c>
      <c r="I81" s="13">
        <f ca="1">IFERROR(__xludf.DUMMYFUNCTION("GOOGLEFINANCE(A81,""volume"")"),2028398)</f>
        <v>2028398</v>
      </c>
      <c r="J81" s="13">
        <f ca="1">IFERROR(__xludf.DUMMYFUNCTION("GOOGLEFINANCE(A81,""volumeavg"")"),2012222)</f>
        <v>2012222</v>
      </c>
      <c r="K81" s="15">
        <f ca="1">IFERROR(__xludf.DUMMYFUNCTION("GOOGLEFINANCE(A81,""high52"")"),367.22)</f>
        <v>367.22</v>
      </c>
      <c r="L81" s="15">
        <f ca="1">IFERROR(__xludf.DUMMYFUNCTION("GOOGLEFINANCE(A81,""low52"")"),204.04)</f>
        <v>204.04</v>
      </c>
      <c r="M81" s="7">
        <f t="shared" ca="1" si="0"/>
        <v>45379.717931597224</v>
      </c>
    </row>
    <row r="82" spans="1:13">
      <c r="A82" s="4" t="s">
        <v>93</v>
      </c>
      <c r="B82" s="5" t="str">
        <f ca="1">IFERROR(__xludf.DUMMYFUNCTION("GoogleFinance(A82, ""name"")"),"Chubb Ltd")</f>
        <v>Chubb Ltd</v>
      </c>
      <c r="C82" s="15">
        <f ca="1">IFERROR(__xludf.DUMMYFUNCTION("GoogleFinance(A82, ""price"")"),259.13)</f>
        <v>259.13</v>
      </c>
      <c r="D82" s="6">
        <f ca="1">IFERROR(__xludf.DUMMYFUNCTION("GoogleFinance(A82, ""eps"")"),21.8)</f>
        <v>21.8</v>
      </c>
      <c r="E82" s="6">
        <f ca="1">IFERROR(__xludf.DUMMYFUNCTION("GOOGLEFINANCE(A82,""pe"")"),11.89)</f>
        <v>11.89</v>
      </c>
      <c r="F82" s="6">
        <f ca="1">IFERROR(__xludf.DUMMYFUNCTION("GoogleFinance(A82, ""beta"")"),0.62)</f>
        <v>0.62</v>
      </c>
      <c r="G82" s="13">
        <f ca="1">IFERROR(__xludf.DUMMYFUNCTION("GOOGLEFINANCE(A82,""shares"")"),405759000)</f>
        <v>405759000</v>
      </c>
      <c r="H82" s="10">
        <f ca="1">IFERROR(__xludf.DUMMYFUNCTION("GOOGLEFINANCE(A82,""marketcap"")"),105144227999)</f>
        <v>105144227999</v>
      </c>
      <c r="I82" s="13">
        <f ca="1">IFERROR(__xludf.DUMMYFUNCTION("GOOGLEFINANCE(A82,""volume"")"),1878945)</f>
        <v>1878945</v>
      </c>
      <c r="J82" s="13">
        <f ca="1">IFERROR(__xludf.DUMMYFUNCTION("GOOGLEFINANCE(A82,""volumeavg"")"),1611987)</f>
        <v>1611987</v>
      </c>
      <c r="K82" s="15">
        <f ca="1">IFERROR(__xludf.DUMMYFUNCTION("GOOGLEFINANCE(A82,""high52"")"),260.58)</f>
        <v>260.58</v>
      </c>
      <c r="L82" s="15">
        <f ca="1">IFERROR(__xludf.DUMMYFUNCTION("GOOGLEFINANCE(A82,""low52"")"),183.71)</f>
        <v>183.71</v>
      </c>
      <c r="M82" s="7">
        <f t="shared" ca="1" si="0"/>
        <v>45379.717931597224</v>
      </c>
    </row>
    <row r="83" spans="1:13">
      <c r="A83" s="4" t="s">
        <v>94</v>
      </c>
      <c r="B83" s="5" t="str">
        <f ca="1">IFERROR(__xludf.DUMMYFUNCTION("GoogleFinance(A83, ""name"")"),"Cboe Global Markets Inc")</f>
        <v>Cboe Global Markets Inc</v>
      </c>
      <c r="C83" s="15">
        <f ca="1">IFERROR(__xludf.DUMMYFUNCTION("GoogleFinance(A83, ""price"")"),183.73)</f>
        <v>183.73</v>
      </c>
      <c r="D83" s="6">
        <f ca="1">IFERROR(__xludf.DUMMYFUNCTION("GoogleFinance(A83, ""eps"")"),7.13)</f>
        <v>7.13</v>
      </c>
      <c r="E83" s="6">
        <f ca="1">IFERROR(__xludf.DUMMYFUNCTION("GOOGLEFINANCE(A83,""pe"")"),25.76)</f>
        <v>25.76</v>
      </c>
      <c r="F83" s="6" t="str">
        <f ca="1">IFERROR(__xludf.DUMMYFUNCTION("GoogleFinance(A83, ""beta"")"),"#N/A")</f>
        <v>#N/A</v>
      </c>
      <c r="G83" s="13">
        <f ca="1">IFERROR(__xludf.DUMMYFUNCTION("GOOGLEFINANCE(A83,""shares"")"),111626296)</f>
        <v>111626296</v>
      </c>
      <c r="H83" s="10">
        <f ca="1">IFERROR(__xludf.DUMMYFUNCTION("GOOGLEFINANCE(A83,""marketcap"")"),19398488543)</f>
        <v>19398488543</v>
      </c>
      <c r="I83" s="13">
        <f ca="1">IFERROR(__xludf.DUMMYFUNCTION("GOOGLEFINANCE(A83,""volume"")"),247038)</f>
        <v>247038</v>
      </c>
      <c r="J83" s="13" t="str">
        <f ca="1">IFERROR(__xludf.DUMMYFUNCTION("GOOGLEFINANCE(A83,""volumeavg"")"),"#N/A")</f>
        <v>#N/A</v>
      </c>
      <c r="K83" s="15">
        <f ca="1">IFERROR(__xludf.DUMMYFUNCTION("GOOGLEFINANCE(A83,""high52"")"),199)</f>
        <v>199</v>
      </c>
      <c r="L83" s="15">
        <f ca="1">IFERROR(__xludf.DUMMYFUNCTION("GOOGLEFINANCE(A83,""low52"")"),130.92)</f>
        <v>130.91999999999999</v>
      </c>
      <c r="M83" s="7">
        <f t="shared" ca="1" si="0"/>
        <v>45379.717931597224</v>
      </c>
    </row>
    <row r="84" spans="1:13">
      <c r="A84" s="4" t="s">
        <v>95</v>
      </c>
      <c r="B84" s="5" t="str">
        <f ca="1">IFERROR(__xludf.DUMMYFUNCTION("GoogleFinance(A84, ""name"")"),"CBRE Group Inc")</f>
        <v>CBRE Group Inc</v>
      </c>
      <c r="C84" s="15">
        <f ca="1">IFERROR(__xludf.DUMMYFUNCTION("GoogleFinance(A84, ""price"")"),97.24)</f>
        <v>97.24</v>
      </c>
      <c r="D84" s="6">
        <f ca="1">IFERROR(__xludf.DUMMYFUNCTION("GoogleFinance(A84, ""eps"")"),3.15)</f>
        <v>3.15</v>
      </c>
      <c r="E84" s="6">
        <f ca="1">IFERROR(__xludf.DUMMYFUNCTION("GOOGLEFINANCE(A84,""pe"")"),30.82)</f>
        <v>30.82</v>
      </c>
      <c r="F84" s="6">
        <f ca="1">IFERROR(__xludf.DUMMYFUNCTION("GoogleFinance(A84, ""beta"")"),1.42)</f>
        <v>1.42</v>
      </c>
      <c r="G84" s="13">
        <f ca="1">IFERROR(__xludf.DUMMYFUNCTION("GOOGLEFINANCE(A84,""shares"")"),305696000)</f>
        <v>305696000</v>
      </c>
      <c r="H84" s="10">
        <f ca="1">IFERROR(__xludf.DUMMYFUNCTION("GOOGLEFINANCE(A84,""marketcap"")"),29725858938)</f>
        <v>29725858938</v>
      </c>
      <c r="I84" s="13">
        <f ca="1">IFERROR(__xludf.DUMMYFUNCTION("GOOGLEFINANCE(A84,""volume"")"),1717152)</f>
        <v>1717152</v>
      </c>
      <c r="J84" s="13">
        <f ca="1">IFERROR(__xludf.DUMMYFUNCTION("GOOGLEFINANCE(A84,""volumeavg"")"),1845085)</f>
        <v>1845085</v>
      </c>
      <c r="K84" s="15">
        <f ca="1">IFERROR(__xludf.DUMMYFUNCTION("GOOGLEFINANCE(A84,""high52"")"),98.65)</f>
        <v>98.65</v>
      </c>
      <c r="L84" s="15">
        <f ca="1">IFERROR(__xludf.DUMMYFUNCTION("GOOGLEFINANCE(A84,""low52"")"),64.63)</f>
        <v>64.63</v>
      </c>
      <c r="M84" s="7">
        <f t="shared" ca="1" si="0"/>
        <v>45379.717931597224</v>
      </c>
    </row>
    <row r="85" spans="1:13">
      <c r="A85" s="4" t="s">
        <v>96</v>
      </c>
      <c r="B85" s="5" t="str">
        <f ca="1">IFERROR(__xludf.DUMMYFUNCTION("GoogleFinance(A85, ""name"")"),"Crown Castle Inc")</f>
        <v>Crown Castle Inc</v>
      </c>
      <c r="C85" s="15">
        <f ca="1">IFERROR(__xludf.DUMMYFUNCTION("GoogleFinance(A85, ""price"")"),105.83)</f>
        <v>105.83</v>
      </c>
      <c r="D85" s="6">
        <f ca="1">IFERROR(__xludf.DUMMYFUNCTION("GoogleFinance(A85, ""eps"")"),3.46)</f>
        <v>3.46</v>
      </c>
      <c r="E85" s="6">
        <f ca="1">IFERROR(__xludf.DUMMYFUNCTION("GOOGLEFINANCE(A85,""pe"")"),30.58)</f>
        <v>30.58</v>
      </c>
      <c r="F85" s="6">
        <f ca="1">IFERROR(__xludf.DUMMYFUNCTION("GoogleFinance(A85, ""beta"")"),0.72)</f>
        <v>0.72</v>
      </c>
      <c r="G85" s="13">
        <f ca="1">IFERROR(__xludf.DUMMYFUNCTION("GOOGLEFINANCE(A85,""shares"")"),434520000)</f>
        <v>434520000</v>
      </c>
      <c r="H85" s="10">
        <f ca="1">IFERROR(__xludf.DUMMYFUNCTION("GOOGLEFINANCE(A85,""marketcap"")"),45985241812)</f>
        <v>45985241812</v>
      </c>
      <c r="I85" s="13">
        <f ca="1">IFERROR(__xludf.DUMMYFUNCTION("GOOGLEFINANCE(A85,""volume"")"),2074242)</f>
        <v>2074242</v>
      </c>
      <c r="J85" s="13">
        <f ca="1">IFERROR(__xludf.DUMMYFUNCTION("GOOGLEFINANCE(A85,""volumeavg"")"),2628648)</f>
        <v>2628648</v>
      </c>
      <c r="K85" s="15">
        <f ca="1">IFERROR(__xludf.DUMMYFUNCTION("GOOGLEFINANCE(A85,""high52"")"),136.29)</f>
        <v>136.29</v>
      </c>
      <c r="L85" s="15">
        <f ca="1">IFERROR(__xludf.DUMMYFUNCTION("GOOGLEFINANCE(A85,""low52"")"),84.72)</f>
        <v>84.72</v>
      </c>
      <c r="M85" s="7">
        <f t="shared" ca="1" si="0"/>
        <v>45379.717931597224</v>
      </c>
    </row>
    <row r="86" spans="1:13">
      <c r="A86" s="4" t="s">
        <v>97</v>
      </c>
      <c r="B86" s="5" t="str">
        <f ca="1">IFERROR(__xludf.DUMMYFUNCTION("GoogleFinance(A86, ""name"")"),"Carnival Corp")</f>
        <v>Carnival Corp</v>
      </c>
      <c r="C86" s="15">
        <f ca="1">IFERROR(__xludf.DUMMYFUNCTION("GoogleFinance(A86, ""price"")"),16.34)</f>
        <v>16.34</v>
      </c>
      <c r="D86" s="6">
        <f ca="1">IFERROR(__xludf.DUMMYFUNCTION("GoogleFinance(A86, ""eps"")"),-0.06)</f>
        <v>-0.06</v>
      </c>
      <c r="E86" s="6" t="str">
        <f ca="1">IFERROR(__xludf.DUMMYFUNCTION("GOOGLEFINANCE(A86,""pe"")"),"#N/A")</f>
        <v>#N/A</v>
      </c>
      <c r="F86" s="6">
        <f ca="1">IFERROR(__xludf.DUMMYFUNCTION("GoogleFinance(A86, ""beta"")"),2.54)</f>
        <v>2.54</v>
      </c>
      <c r="G86" s="13">
        <f ca="1">IFERROR(__xludf.DUMMYFUNCTION("GOOGLEFINANCE(A86,""shares"")"),1119446000)</f>
        <v>1119446000</v>
      </c>
      <c r="H86" s="10">
        <f ca="1">IFERROR(__xludf.DUMMYFUNCTION("GOOGLEFINANCE(A86,""marketcap"")"),20444559170)</f>
        <v>20444559170</v>
      </c>
      <c r="I86" s="13">
        <f ca="1">IFERROR(__xludf.DUMMYFUNCTION("GOOGLEFINANCE(A86,""volume"")"),60256140)</f>
        <v>60256140</v>
      </c>
      <c r="J86" s="13">
        <f ca="1">IFERROR(__xludf.DUMMYFUNCTION("GOOGLEFINANCE(A86,""volumeavg"")"),28658730)</f>
        <v>28658730</v>
      </c>
      <c r="K86" s="15">
        <f ca="1">IFERROR(__xludf.DUMMYFUNCTION("GOOGLEFINANCE(A86,""high52"")"),19.74)</f>
        <v>19.739999999999998</v>
      </c>
      <c r="L86" s="15">
        <f ca="1">IFERROR(__xludf.DUMMYFUNCTION("GOOGLEFINANCE(A86,""low52"")"),8.7)</f>
        <v>8.6999999999999993</v>
      </c>
      <c r="M86" s="7">
        <f t="shared" ca="1" si="0"/>
        <v>45379.717931597224</v>
      </c>
    </row>
    <row r="87" spans="1:13">
      <c r="A87" s="4" t="s">
        <v>98</v>
      </c>
      <c r="B87" s="5" t="str">
        <f ca="1">IFERROR(__xludf.DUMMYFUNCTION("GoogleFinance(A87, ""name"")"),"#N/A")</f>
        <v>#N/A</v>
      </c>
      <c r="C87" s="15" t="str">
        <f ca="1">IFERROR(__xludf.DUMMYFUNCTION("GoogleFinance(A87, ""price"")"),"#N/A")</f>
        <v>#N/A</v>
      </c>
      <c r="D87" s="6" t="str">
        <f ca="1">IFERROR(__xludf.DUMMYFUNCTION("GoogleFinance(A87, ""eps"")"),"#N/A")</f>
        <v>#N/A</v>
      </c>
      <c r="E87" s="6" t="str">
        <f ca="1">IFERROR(__xludf.DUMMYFUNCTION("GOOGLEFINANCE(A87,""pe"")"),"#N/A")</f>
        <v>#N/A</v>
      </c>
      <c r="F87" s="6" t="str">
        <f ca="1">IFERROR(__xludf.DUMMYFUNCTION("GoogleFinance(A87, ""beta"")"),"#N/A")</f>
        <v>#N/A</v>
      </c>
      <c r="G87" s="13" t="str">
        <f ca="1">IFERROR(__xludf.DUMMYFUNCTION("GOOGLEFINANCE(A87,""shares"")"),"#N/A")</f>
        <v>#N/A</v>
      </c>
      <c r="H87" s="10" t="str">
        <f ca="1">IFERROR(__xludf.DUMMYFUNCTION("GOOGLEFINANCE(A87,""marketcap"")"),"#N/A")</f>
        <v>#N/A</v>
      </c>
      <c r="I87" s="13" t="str">
        <f ca="1">IFERROR(__xludf.DUMMYFUNCTION("GOOGLEFINANCE(A87,""volume"")"),"#N/A")</f>
        <v>#N/A</v>
      </c>
      <c r="J87" s="13" t="str">
        <f ca="1">IFERROR(__xludf.DUMMYFUNCTION("GOOGLEFINANCE(A87,""volumeavg"")"),"#N/A")</f>
        <v>#N/A</v>
      </c>
      <c r="K87" s="15" t="str">
        <f ca="1">IFERROR(__xludf.DUMMYFUNCTION("GOOGLEFINANCE(A87,""high52"")"),"#N/A")</f>
        <v>#N/A</v>
      </c>
      <c r="L87" s="15" t="str">
        <f ca="1">IFERROR(__xludf.DUMMYFUNCTION("GOOGLEFINANCE(A87,""low52"")"),"#N/A")</f>
        <v>#N/A</v>
      </c>
      <c r="M87" s="7">
        <f t="shared" ca="1" si="0"/>
        <v>45379.717931597224</v>
      </c>
    </row>
    <row r="88" spans="1:13">
      <c r="A88" s="4" t="s">
        <v>99</v>
      </c>
      <c r="B88" s="5" t="str">
        <f ca="1">IFERROR(__xludf.DUMMYFUNCTION("GoogleFinance(A88, ""name"")"),"Cadence Design Systems Inc")</f>
        <v>Cadence Design Systems Inc</v>
      </c>
      <c r="C88" s="15">
        <f ca="1">IFERROR(__xludf.DUMMYFUNCTION("GoogleFinance(A88, ""price"")"),311.28)</f>
        <v>311.27999999999997</v>
      </c>
      <c r="D88" s="6">
        <f ca="1">IFERROR(__xludf.DUMMYFUNCTION("GoogleFinance(A88, ""eps"")"),3.82)</f>
        <v>3.82</v>
      </c>
      <c r="E88" s="6">
        <f ca="1">IFERROR(__xludf.DUMMYFUNCTION("GOOGLEFINANCE(A88,""pe"")"),81.55)</f>
        <v>81.55</v>
      </c>
      <c r="F88" s="6">
        <f ca="1">IFERROR(__xludf.DUMMYFUNCTION("GoogleFinance(A88, ""beta"")"),1.04)</f>
        <v>1.04</v>
      </c>
      <c r="G88" s="13">
        <f ca="1">IFERROR(__xludf.DUMMYFUNCTION("GOOGLEFINANCE(A88,""shares"")"),272601000)</f>
        <v>272601000</v>
      </c>
      <c r="H88" s="10">
        <f ca="1">IFERROR(__xludf.DUMMYFUNCTION("GOOGLEFINANCE(A88,""marketcap"")"),84855176691)</f>
        <v>84855176691</v>
      </c>
      <c r="I88" s="13">
        <f ca="1">IFERROR(__xludf.DUMMYFUNCTION("GOOGLEFINANCE(A88,""volume"")"),1331431)</f>
        <v>1331431</v>
      </c>
      <c r="J88" s="13">
        <f ca="1">IFERROR(__xludf.DUMMYFUNCTION("GOOGLEFINANCE(A88,""volumeavg"")"),1466378)</f>
        <v>1466378</v>
      </c>
      <c r="K88" s="15">
        <f ca="1">IFERROR(__xludf.DUMMYFUNCTION("GOOGLEFINANCE(A88,""high52"")"),327.36)</f>
        <v>327.36</v>
      </c>
      <c r="L88" s="15">
        <f ca="1">IFERROR(__xludf.DUMMYFUNCTION("GOOGLEFINANCE(A88,""low52"")"),194.01)</f>
        <v>194.01</v>
      </c>
      <c r="M88" s="7">
        <f t="shared" ca="1" si="0"/>
        <v>45379.717931597224</v>
      </c>
    </row>
    <row r="89" spans="1:13">
      <c r="A89" s="4" t="s">
        <v>100</v>
      </c>
      <c r="B89" s="5" t="str">
        <f ca="1">IFERROR(__xludf.DUMMYFUNCTION("GoogleFinance(A89, ""name"")"),"CDW common stock")</f>
        <v>CDW common stock</v>
      </c>
      <c r="C89" s="15">
        <f ca="1">IFERROR(__xludf.DUMMYFUNCTION("GoogleFinance(A89, ""price"")"),255.78)</f>
        <v>255.78</v>
      </c>
      <c r="D89" s="6">
        <f ca="1">IFERROR(__xludf.DUMMYFUNCTION("GoogleFinance(A89, ""eps"")"),8.1)</f>
        <v>8.1</v>
      </c>
      <c r="E89" s="6">
        <f ca="1">IFERROR(__xludf.DUMMYFUNCTION("GOOGLEFINANCE(A89,""pe"")"),31.57)</f>
        <v>31.57</v>
      </c>
      <c r="F89" s="6">
        <f ca="1">IFERROR(__xludf.DUMMYFUNCTION("GoogleFinance(A89, ""beta"")"),1.09)</f>
        <v>1.0900000000000001</v>
      </c>
      <c r="G89" s="13">
        <f ca="1">IFERROR(__xludf.DUMMYFUNCTION("GOOGLEFINANCE(A89,""shares"")"),134215000)</f>
        <v>134215000</v>
      </c>
      <c r="H89" s="10">
        <f ca="1">IFERROR(__xludf.DUMMYFUNCTION("GOOGLEFINANCE(A89,""marketcap"")"),34329538114)</f>
        <v>34329538114</v>
      </c>
      <c r="I89" s="13">
        <f ca="1">IFERROR(__xludf.DUMMYFUNCTION("GOOGLEFINANCE(A89,""volume"")"),772263)</f>
        <v>772263</v>
      </c>
      <c r="J89" s="13">
        <f ca="1">IFERROR(__xludf.DUMMYFUNCTION("GOOGLEFINANCE(A89,""volumeavg"")"),623602)</f>
        <v>623602</v>
      </c>
      <c r="K89" s="15">
        <f ca="1">IFERROR(__xludf.DUMMYFUNCTION("GOOGLEFINANCE(A89,""high52"")"),259.38)</f>
        <v>259.38</v>
      </c>
      <c r="L89" s="15">
        <f ca="1">IFERROR(__xludf.DUMMYFUNCTION("GOOGLEFINANCE(A89,""low52"")"),160.66)</f>
        <v>160.66</v>
      </c>
      <c r="M89" s="7">
        <f t="shared" ca="1" si="0"/>
        <v>45379.717931597224</v>
      </c>
    </row>
    <row r="90" spans="1:13">
      <c r="A90" s="4" t="s">
        <v>101</v>
      </c>
      <c r="B90" s="5" t="str">
        <f ca="1">IFERROR(__xludf.DUMMYFUNCTION("GoogleFinance(A90, ""name"")"),"Celanese Corporation")</f>
        <v>Celanese Corporation</v>
      </c>
      <c r="C90" s="15">
        <f ca="1">IFERROR(__xludf.DUMMYFUNCTION("GoogleFinance(A90, ""price"")"),171.86)</f>
        <v>171.86</v>
      </c>
      <c r="D90" s="6">
        <f ca="1">IFERROR(__xludf.DUMMYFUNCTION("GoogleFinance(A90, ""eps"")"),18)</f>
        <v>18</v>
      </c>
      <c r="E90" s="6">
        <f ca="1">IFERROR(__xludf.DUMMYFUNCTION("GOOGLEFINANCE(A90,""pe"")"),9.55)</f>
        <v>9.5500000000000007</v>
      </c>
      <c r="F90" s="6">
        <f ca="1">IFERROR(__xludf.DUMMYFUNCTION("GoogleFinance(A90, ""beta"")"),1.35)</f>
        <v>1.35</v>
      </c>
      <c r="G90" s="13">
        <f ca="1">IFERROR(__xludf.DUMMYFUNCTION("GOOGLEFINANCE(A90,""shares"")"),111317000)</f>
        <v>111317000</v>
      </c>
      <c r="H90" s="10">
        <f ca="1">IFERROR(__xludf.DUMMYFUNCTION("GOOGLEFINANCE(A90,""marketcap"")"),19173285992)</f>
        <v>19173285992</v>
      </c>
      <c r="I90" s="13">
        <f ca="1">IFERROR(__xludf.DUMMYFUNCTION("GOOGLEFINANCE(A90,""volume"")"),686546)</f>
        <v>686546</v>
      </c>
      <c r="J90" s="13">
        <f ca="1">IFERROR(__xludf.DUMMYFUNCTION("GOOGLEFINANCE(A90,""volumeavg"")"),757807)</f>
        <v>757807</v>
      </c>
      <c r="K90" s="15">
        <f ca="1">IFERROR(__xludf.DUMMYFUNCTION("GOOGLEFINANCE(A90,""high52"")"),172.16)</f>
        <v>172.16</v>
      </c>
      <c r="L90" s="15">
        <f ca="1">IFERROR(__xludf.DUMMYFUNCTION("GOOGLEFINANCE(A90,""low52"")"),99.33)</f>
        <v>99.33</v>
      </c>
      <c r="M90" s="7">
        <f t="shared" ca="1" si="0"/>
        <v>45379.717931597224</v>
      </c>
    </row>
    <row r="91" spans="1:13">
      <c r="A91" s="4" t="s">
        <v>102</v>
      </c>
      <c r="B91" s="5" t="str">
        <f ca="1">IFERROR(__xludf.DUMMYFUNCTION("GoogleFinance(A91, ""name"")"),"Constellation Energy Corp")</f>
        <v>Constellation Energy Corp</v>
      </c>
      <c r="C91" s="15">
        <f ca="1">IFERROR(__xludf.DUMMYFUNCTION("GoogleFinance(A91, ""price"")"),184.85)</f>
        <v>184.85</v>
      </c>
      <c r="D91" s="6">
        <f ca="1">IFERROR(__xludf.DUMMYFUNCTION("GoogleFinance(A91, ""eps"")"),5.01)</f>
        <v>5.01</v>
      </c>
      <c r="E91" s="6">
        <f ca="1">IFERROR(__xludf.DUMMYFUNCTION("GOOGLEFINANCE(A91,""pe"")"),36.9)</f>
        <v>36.9</v>
      </c>
      <c r="F91" s="6" t="str">
        <f ca="1">IFERROR(__xludf.DUMMYFUNCTION("GoogleFinance(A91, ""beta"")"),"#N/A")</f>
        <v>#N/A</v>
      </c>
      <c r="G91" s="13">
        <f ca="1">IFERROR(__xludf.DUMMYFUNCTION("GOOGLEFINANCE(A91,""shares"")"),316667000)</f>
        <v>316667000</v>
      </c>
      <c r="H91" s="10">
        <f ca="1">IFERROR(__xludf.DUMMYFUNCTION("GOOGLEFINANCE(A91,""marketcap"")"),58250100288)</f>
        <v>58250100288</v>
      </c>
      <c r="I91" s="13">
        <f ca="1">IFERROR(__xludf.DUMMYFUNCTION("GOOGLEFINANCE(A91,""volume"")"),2050809)</f>
        <v>2050809</v>
      </c>
      <c r="J91" s="13">
        <f ca="1">IFERROR(__xludf.DUMMYFUNCTION("GOOGLEFINANCE(A91,""volumeavg"")"),2854837)</f>
        <v>2854837</v>
      </c>
      <c r="K91" s="15">
        <f ca="1">IFERROR(__xludf.DUMMYFUNCTION("GOOGLEFINANCE(A91,""high52"")"),198.83)</f>
        <v>198.83</v>
      </c>
      <c r="L91" s="15">
        <f ca="1">IFERROR(__xludf.DUMMYFUNCTION("GOOGLEFINANCE(A91,""low52"")"),74.17)</f>
        <v>74.17</v>
      </c>
      <c r="M91" s="7">
        <f t="shared" ca="1" si="0"/>
        <v>45379.717931597224</v>
      </c>
    </row>
    <row r="92" spans="1:13">
      <c r="A92" s="4" t="s">
        <v>103</v>
      </c>
      <c r="B92" s="5" t="str">
        <f ca="1">IFERROR(__xludf.DUMMYFUNCTION("GoogleFinance(A92, ""name"")"),"CF Industries Holdings, Inc.")</f>
        <v>CF Industries Holdings, Inc.</v>
      </c>
      <c r="C92" s="15">
        <f ca="1">IFERROR(__xludf.DUMMYFUNCTION("GoogleFinance(A92, ""price"")"),83.21)</f>
        <v>83.21</v>
      </c>
      <c r="D92" s="6">
        <f ca="1">IFERROR(__xludf.DUMMYFUNCTION("GoogleFinance(A92, ""eps"")"),7.87)</f>
        <v>7.87</v>
      </c>
      <c r="E92" s="6">
        <f ca="1">IFERROR(__xludf.DUMMYFUNCTION("GOOGLEFINANCE(A92,""pe"")"),10.57)</f>
        <v>10.57</v>
      </c>
      <c r="F92" s="6">
        <f ca="1">IFERROR(__xludf.DUMMYFUNCTION("GoogleFinance(A92, ""beta"")"),1.03)</f>
        <v>1.03</v>
      </c>
      <c r="G92" s="13">
        <f ca="1">IFERROR(__xludf.DUMMYFUNCTION("GOOGLEFINANCE(A92,""shares"")"),187726000)</f>
        <v>187726000</v>
      </c>
      <c r="H92" s="10">
        <f ca="1">IFERROR(__xludf.DUMMYFUNCTION("GOOGLEFINANCE(A92,""marketcap"")"),15620713572)</f>
        <v>15620713572</v>
      </c>
      <c r="I92" s="13">
        <f ca="1">IFERROR(__xludf.DUMMYFUNCTION("GOOGLEFINANCE(A92,""volume"")"),2325219)</f>
        <v>2325219</v>
      </c>
      <c r="J92" s="13">
        <f ca="1">IFERROR(__xludf.DUMMYFUNCTION("GOOGLEFINANCE(A92,""volumeavg"")"),3077884)</f>
        <v>3077884</v>
      </c>
      <c r="K92" s="15">
        <f ca="1">IFERROR(__xludf.DUMMYFUNCTION("GOOGLEFINANCE(A92,""high52"")"),87.9)</f>
        <v>87.9</v>
      </c>
      <c r="L92" s="15">
        <f ca="1">IFERROR(__xludf.DUMMYFUNCTION("GOOGLEFINANCE(A92,""low52"")"),60.08)</f>
        <v>60.08</v>
      </c>
      <c r="M92" s="7">
        <f t="shared" ca="1" si="0"/>
        <v>45379.717931597224</v>
      </c>
    </row>
    <row r="93" spans="1:13">
      <c r="A93" s="4" t="s">
        <v>104</v>
      </c>
      <c r="B93" s="5" t="str">
        <f ca="1">IFERROR(__xludf.DUMMYFUNCTION("GoogleFinance(A93, ""name"")"),"Citizens Financial Group Inc")</f>
        <v>Citizens Financial Group Inc</v>
      </c>
      <c r="C93" s="15">
        <f ca="1">IFERROR(__xludf.DUMMYFUNCTION("GoogleFinance(A93, ""price"")"),36.29)</f>
        <v>36.29</v>
      </c>
      <c r="D93" s="6">
        <f ca="1">IFERROR(__xludf.DUMMYFUNCTION("GoogleFinance(A93, ""eps"")"),3.13)</f>
        <v>3.13</v>
      </c>
      <c r="E93" s="6">
        <f ca="1">IFERROR(__xludf.DUMMYFUNCTION("GOOGLEFINANCE(A93,""pe"")"),11.6)</f>
        <v>11.6</v>
      </c>
      <c r="F93" s="6">
        <f ca="1">IFERROR(__xludf.DUMMYFUNCTION("GoogleFinance(A93, ""beta"")"),1.36)</f>
        <v>1.36</v>
      </c>
      <c r="G93" s="13">
        <f ca="1">IFERROR(__xludf.DUMMYFUNCTION("GOOGLEFINANCE(A93,""shares"")"),458399000)</f>
        <v>458399000</v>
      </c>
      <c r="H93" s="10">
        <f ca="1">IFERROR(__xludf.DUMMYFUNCTION("GOOGLEFINANCE(A93,""marketcap"")"),16636388829)</f>
        <v>16636388829</v>
      </c>
      <c r="I93" s="13">
        <f ca="1">IFERROR(__xludf.DUMMYFUNCTION("GOOGLEFINANCE(A93,""volume"")"),3765351)</f>
        <v>3765351</v>
      </c>
      <c r="J93" s="13">
        <f ca="1">IFERROR(__xludf.DUMMYFUNCTION("GOOGLEFINANCE(A93,""volumeavg"")"),5604880)</f>
        <v>5604880</v>
      </c>
      <c r="K93" s="15">
        <f ca="1">IFERROR(__xludf.DUMMYFUNCTION("GOOGLEFINANCE(A93,""high52"")"),36.35)</f>
        <v>36.35</v>
      </c>
      <c r="L93" s="15">
        <f ca="1">IFERROR(__xludf.DUMMYFUNCTION("GOOGLEFINANCE(A93,""low52"")"),22.77)</f>
        <v>22.77</v>
      </c>
      <c r="M93" s="7">
        <f t="shared" ca="1" si="0"/>
        <v>45379.717931597224</v>
      </c>
    </row>
    <row r="94" spans="1:13">
      <c r="A94" s="4" t="s">
        <v>105</v>
      </c>
      <c r="B94" s="5" t="str">
        <f ca="1">IFERROR(__xludf.DUMMYFUNCTION("GoogleFinance(A94, ""name"")"),"Church &amp; Dwight Co., Inc.")</f>
        <v>Church &amp; Dwight Co., Inc.</v>
      </c>
      <c r="C94" s="15">
        <f ca="1">IFERROR(__xludf.DUMMYFUNCTION("GoogleFinance(A94, ""price"")"),104.31)</f>
        <v>104.31</v>
      </c>
      <c r="D94" s="6">
        <f ca="1">IFERROR(__xludf.DUMMYFUNCTION("GoogleFinance(A94, ""eps"")"),3.05)</f>
        <v>3.05</v>
      </c>
      <c r="E94" s="6">
        <f ca="1">IFERROR(__xludf.DUMMYFUNCTION("GOOGLEFINANCE(A94,""pe"")"),34.18)</f>
        <v>34.18</v>
      </c>
      <c r="F94" s="6">
        <f ca="1">IFERROR(__xludf.DUMMYFUNCTION("GoogleFinance(A94, ""beta"")"),0.53)</f>
        <v>0.53</v>
      </c>
      <c r="G94" s="13">
        <f ca="1">IFERROR(__xludf.DUMMYFUNCTION("GOOGLEFINANCE(A94,""shares"")"),243777000)</f>
        <v>243777000</v>
      </c>
      <c r="H94" s="10">
        <f ca="1">IFERROR(__xludf.DUMMYFUNCTION("GOOGLEFINANCE(A94,""marketcap"")"),25441709092)</f>
        <v>25441709092</v>
      </c>
      <c r="I94" s="13">
        <f ca="1">IFERROR(__xludf.DUMMYFUNCTION("GOOGLEFINANCE(A94,""volume"")"),1731305)</f>
        <v>1731305</v>
      </c>
      <c r="J94" s="13">
        <f ca="1">IFERROR(__xludf.DUMMYFUNCTION("GOOGLEFINANCE(A94,""volumeavg"")"),1075098)</f>
        <v>1075098</v>
      </c>
      <c r="K94" s="15">
        <f ca="1">IFERROR(__xludf.DUMMYFUNCTION("GOOGLEFINANCE(A94,""high52"")"),105.67)</f>
        <v>105.67</v>
      </c>
      <c r="L94" s="15">
        <f ca="1">IFERROR(__xludf.DUMMYFUNCTION("GOOGLEFINANCE(A94,""low52"")"),82.25)</f>
        <v>82.25</v>
      </c>
      <c r="M94" s="7">
        <f t="shared" ca="1" si="0"/>
        <v>45379.717931597224</v>
      </c>
    </row>
    <row r="95" spans="1:13">
      <c r="A95" s="4" t="s">
        <v>106</v>
      </c>
      <c r="B95" s="5" t="str">
        <f ca="1">IFERROR(__xludf.DUMMYFUNCTION("GoogleFinance(A95, ""name"")"),"CH Robinson Worldwide Inc")</f>
        <v>CH Robinson Worldwide Inc</v>
      </c>
      <c r="C95" s="15">
        <f ca="1">IFERROR(__xludf.DUMMYFUNCTION("GoogleFinance(A95, ""price"")"),76.14)</f>
        <v>76.14</v>
      </c>
      <c r="D95" s="6">
        <f ca="1">IFERROR(__xludf.DUMMYFUNCTION("GoogleFinance(A95, ""eps"")"),2.72)</f>
        <v>2.72</v>
      </c>
      <c r="E95" s="6">
        <f ca="1">IFERROR(__xludf.DUMMYFUNCTION("GOOGLEFINANCE(A95,""pe"")"),28.03)</f>
        <v>28.03</v>
      </c>
      <c r="F95" s="6">
        <f ca="1">IFERROR(__xludf.DUMMYFUNCTION("GoogleFinance(A95, ""beta"")"),0.72)</f>
        <v>0.72</v>
      </c>
      <c r="G95" s="13">
        <f ca="1">IFERROR(__xludf.DUMMYFUNCTION("GOOGLEFINANCE(A95,""shares"")"),116891000)</f>
        <v>116891000</v>
      </c>
      <c r="H95" s="10">
        <f ca="1">IFERROR(__xludf.DUMMYFUNCTION("GOOGLEFINANCE(A95,""marketcap"")"),8900057826)</f>
        <v>8900057826</v>
      </c>
      <c r="I95" s="13">
        <f ca="1">IFERROR(__xludf.DUMMYFUNCTION("GOOGLEFINANCE(A95,""volume"")"),1461682)</f>
        <v>1461682</v>
      </c>
      <c r="J95" s="13">
        <f ca="1">IFERROR(__xludf.DUMMYFUNCTION("GOOGLEFINANCE(A95,""volumeavg"")"),1852214)</f>
        <v>1852214</v>
      </c>
      <c r="K95" s="15">
        <f ca="1">IFERROR(__xludf.DUMMYFUNCTION("GOOGLEFINANCE(A95,""high52"")"),106.14)</f>
        <v>106.14</v>
      </c>
      <c r="L95" s="15">
        <f ca="1">IFERROR(__xludf.DUMMYFUNCTION("GOOGLEFINANCE(A95,""low52"")"),69.11)</f>
        <v>69.11</v>
      </c>
      <c r="M95" s="7">
        <f t="shared" ca="1" si="0"/>
        <v>45379.717931597224</v>
      </c>
    </row>
    <row r="96" spans="1:13">
      <c r="A96" s="4" t="s">
        <v>107</v>
      </c>
      <c r="B96" s="5" t="str">
        <f ca="1">IFERROR(__xludf.DUMMYFUNCTION("GoogleFinance(A96, ""name"")"),"Charter Communications Inc")</f>
        <v>Charter Communications Inc</v>
      </c>
      <c r="C96" s="15">
        <f ca="1">IFERROR(__xludf.DUMMYFUNCTION("GoogleFinance(A96, ""price"")"),290.63)</f>
        <v>290.63</v>
      </c>
      <c r="D96" s="6">
        <f ca="1">IFERROR(__xludf.DUMMYFUNCTION("GoogleFinance(A96, ""eps"")"),29.99)</f>
        <v>29.99</v>
      </c>
      <c r="E96" s="6">
        <f ca="1">IFERROR(__xludf.DUMMYFUNCTION("GOOGLEFINANCE(A96,""pe"")"),9.69)</f>
        <v>9.69</v>
      </c>
      <c r="F96" s="6">
        <f ca="1">IFERROR(__xludf.DUMMYFUNCTION("GoogleFinance(A96, ""beta"")"),0.96)</f>
        <v>0.96</v>
      </c>
      <c r="G96" s="13">
        <f ca="1">IFERROR(__xludf.DUMMYFUNCTION("GOOGLEFINANCE(A96,""shares"")"),144386000)</f>
        <v>144386000</v>
      </c>
      <c r="H96" s="10">
        <f ca="1">IFERROR(__xludf.DUMMYFUNCTION("GOOGLEFINANCE(A96,""marketcap"")"),46872603746)</f>
        <v>46872603746</v>
      </c>
      <c r="I96" s="13">
        <f ca="1">IFERROR(__xludf.DUMMYFUNCTION("GOOGLEFINANCE(A96,""volume"")"),1254305)</f>
        <v>1254305</v>
      </c>
      <c r="J96" s="13">
        <f ca="1">IFERROR(__xludf.DUMMYFUNCTION("GOOGLEFINANCE(A96,""volumeavg"")"),1670794)</f>
        <v>1670794</v>
      </c>
      <c r="K96" s="15">
        <f ca="1">IFERROR(__xludf.DUMMYFUNCTION("GOOGLEFINANCE(A96,""high52"")"),458.3)</f>
        <v>458.3</v>
      </c>
      <c r="L96" s="15">
        <f ca="1">IFERROR(__xludf.DUMMYFUNCTION("GOOGLEFINANCE(A96,""low52"")"),270.41)</f>
        <v>270.41000000000003</v>
      </c>
      <c r="M96" s="7">
        <f t="shared" ca="1" si="0"/>
        <v>45379.717931597224</v>
      </c>
    </row>
    <row r="97" spans="1:13">
      <c r="A97" s="4" t="s">
        <v>108</v>
      </c>
      <c r="B97" s="5" t="str">
        <f ca="1">IFERROR(__xludf.DUMMYFUNCTION("GoogleFinance(A97, ""name"")"),"Cigna Group")</f>
        <v>Cigna Group</v>
      </c>
      <c r="C97" s="15">
        <f ca="1">IFERROR(__xludf.DUMMYFUNCTION("GoogleFinance(A97, ""price"")"),363.19)</f>
        <v>363.19</v>
      </c>
      <c r="D97" s="6">
        <f ca="1">IFERROR(__xludf.DUMMYFUNCTION("GoogleFinance(A97, ""eps"")"),17.39)</f>
        <v>17.39</v>
      </c>
      <c r="E97" s="6">
        <f ca="1">IFERROR(__xludf.DUMMYFUNCTION("GOOGLEFINANCE(A97,""pe"")"),20.88)</f>
        <v>20.88</v>
      </c>
      <c r="F97" s="6">
        <f ca="1">IFERROR(__xludf.DUMMYFUNCTION("GoogleFinance(A97, ""beta"")"),0.55)</f>
        <v>0.55000000000000004</v>
      </c>
      <c r="G97" s="13">
        <f ca="1">IFERROR(__xludf.DUMMYFUNCTION("GOOGLEFINANCE(A97,""shares"")"),292355000)</f>
        <v>292355000</v>
      </c>
      <c r="H97" s="10">
        <f ca="1">IFERROR(__xludf.DUMMYFUNCTION("GOOGLEFINANCE(A97,""marketcap"")"),106180413163)</f>
        <v>106180413163</v>
      </c>
      <c r="I97" s="13">
        <f ca="1">IFERROR(__xludf.DUMMYFUNCTION("GOOGLEFINANCE(A97,""volume"")"),1162694)</f>
        <v>1162694</v>
      </c>
      <c r="J97" s="13">
        <f ca="1">IFERROR(__xludf.DUMMYFUNCTION("GOOGLEFINANCE(A97,""volumeavg"")"),1525051)</f>
        <v>1525051</v>
      </c>
      <c r="K97" s="15">
        <f ca="1">IFERROR(__xludf.DUMMYFUNCTION("GOOGLEFINANCE(A97,""high52"")"),365.71)</f>
        <v>365.71</v>
      </c>
      <c r="L97" s="15">
        <f ca="1">IFERROR(__xludf.DUMMYFUNCTION("GOOGLEFINANCE(A97,""low52"")"),240.5)</f>
        <v>240.5</v>
      </c>
      <c r="M97" s="7">
        <f t="shared" ca="1" si="0"/>
        <v>45379.717931597224</v>
      </c>
    </row>
    <row r="98" spans="1:13">
      <c r="A98" s="4" t="s">
        <v>109</v>
      </c>
      <c r="B98" s="5" t="str">
        <f ca="1">IFERROR(__xludf.DUMMYFUNCTION("GoogleFinance(A98, ""name"")"),"Cincinnati Financial Corporation")</f>
        <v>Cincinnati Financial Corporation</v>
      </c>
      <c r="C98" s="15">
        <f ca="1">IFERROR(__xludf.DUMMYFUNCTION("GoogleFinance(A98, ""price"")"),124.17)</f>
        <v>124.17</v>
      </c>
      <c r="D98" s="6">
        <f ca="1">IFERROR(__xludf.DUMMYFUNCTION("GoogleFinance(A98, ""eps"")"),11.66)</f>
        <v>11.66</v>
      </c>
      <c r="E98" s="6">
        <f ca="1">IFERROR(__xludf.DUMMYFUNCTION("GOOGLEFINANCE(A98,""pe"")"),10.65)</f>
        <v>10.65</v>
      </c>
      <c r="F98" s="6">
        <f ca="1">IFERROR(__xludf.DUMMYFUNCTION("GoogleFinance(A98, ""beta"")"),0.62)</f>
        <v>0.62</v>
      </c>
      <c r="G98" s="13">
        <f ca="1">IFERROR(__xludf.DUMMYFUNCTION("GOOGLEFINANCE(A98,""shares"")"),156665000)</f>
        <v>156665000</v>
      </c>
      <c r="H98" s="10">
        <f ca="1">IFERROR(__xludf.DUMMYFUNCTION("GOOGLEFINANCE(A98,""marketcap"")"),38912145686)</f>
        <v>38912145686</v>
      </c>
      <c r="I98" s="13">
        <f ca="1">IFERROR(__xludf.DUMMYFUNCTION("GOOGLEFINANCE(A98,""volume"")"),762681)</f>
        <v>762681</v>
      </c>
      <c r="J98" s="13">
        <f ca="1">IFERROR(__xludf.DUMMYFUNCTION("GOOGLEFINANCE(A98,""volumeavg"")"),1170425)</f>
        <v>1170425</v>
      </c>
      <c r="K98" s="15">
        <f ca="1">IFERROR(__xludf.DUMMYFUNCTION("GOOGLEFINANCE(A98,""high52"")"),124.35)</f>
        <v>124.35</v>
      </c>
      <c r="L98" s="15">
        <f ca="1">IFERROR(__xludf.DUMMYFUNCTION("GOOGLEFINANCE(A98,""low52"")"),95.01)</f>
        <v>95.01</v>
      </c>
      <c r="M98" s="7">
        <f t="shared" ca="1" si="0"/>
        <v>45379.717931597224</v>
      </c>
    </row>
    <row r="99" spans="1:13">
      <c r="A99" s="4" t="s">
        <v>110</v>
      </c>
      <c r="B99" s="5" t="str">
        <f ca="1">IFERROR(__xludf.DUMMYFUNCTION("GoogleFinance(A99, ""name"")"),"Colgate-Palmolive Company")</f>
        <v>Colgate-Palmolive Company</v>
      </c>
      <c r="C99" s="15">
        <f ca="1">IFERROR(__xludf.DUMMYFUNCTION("GoogleFinance(A99, ""price"")"),90.05)</f>
        <v>90.05</v>
      </c>
      <c r="D99" s="6">
        <f ca="1">IFERROR(__xludf.DUMMYFUNCTION("GoogleFinance(A99, ""eps"")"),2.77)</f>
        <v>2.77</v>
      </c>
      <c r="E99" s="6">
        <f ca="1">IFERROR(__xludf.DUMMYFUNCTION("GOOGLEFINANCE(A99,""pe"")"),32.46)</f>
        <v>32.46</v>
      </c>
      <c r="F99" s="6">
        <f ca="1">IFERROR(__xludf.DUMMYFUNCTION("GoogleFinance(A99, ""beta"")"),0.42)</f>
        <v>0.42</v>
      </c>
      <c r="G99" s="13">
        <f ca="1">IFERROR(__xludf.DUMMYFUNCTION("GOOGLEFINANCE(A99,""shares"")"),823151000)</f>
        <v>823151000</v>
      </c>
      <c r="H99" s="10">
        <f ca="1">IFERROR(__xludf.DUMMYFUNCTION("GOOGLEFINANCE(A99,""marketcap"")"),74124732052)</f>
        <v>74124732052</v>
      </c>
      <c r="I99" s="13">
        <f ca="1">IFERROR(__xludf.DUMMYFUNCTION("GOOGLEFINANCE(A99,""volume"")"),3459748)</f>
        <v>3459748</v>
      </c>
      <c r="J99" s="13">
        <f ca="1">IFERROR(__xludf.DUMMYFUNCTION("GOOGLEFINANCE(A99,""volumeavg"")"),3823470)</f>
        <v>3823470</v>
      </c>
      <c r="K99" s="15">
        <f ca="1">IFERROR(__xludf.DUMMYFUNCTION("GOOGLEFINANCE(A99,""high52"")"),90.37)</f>
        <v>90.37</v>
      </c>
      <c r="L99" s="15">
        <f ca="1">IFERROR(__xludf.DUMMYFUNCTION("GOOGLEFINANCE(A99,""low52"")"),67.62)</f>
        <v>67.62</v>
      </c>
      <c r="M99" s="7">
        <f t="shared" ca="1" si="0"/>
        <v>45379.717931597224</v>
      </c>
    </row>
    <row r="100" spans="1:13">
      <c r="A100" s="4" t="s">
        <v>111</v>
      </c>
      <c r="B100" s="5" t="str">
        <f ca="1">IFERROR(__xludf.DUMMYFUNCTION("GoogleFinance(A100, ""name"")"),"Clorox Co")</f>
        <v>Clorox Co</v>
      </c>
      <c r="C100" s="15">
        <f ca="1">IFERROR(__xludf.DUMMYFUNCTION("GoogleFinance(A100, ""price"")"),153.11)</f>
        <v>153.11000000000001</v>
      </c>
      <c r="D100" s="6">
        <f ca="1">IFERROR(__xludf.DUMMYFUNCTION("GoogleFinance(A100, ""eps"")"),0.61)</f>
        <v>0.61</v>
      </c>
      <c r="E100" s="6">
        <f ca="1">IFERROR(__xludf.DUMMYFUNCTION("GOOGLEFINANCE(A100,""pe"")"),250.56)</f>
        <v>250.56</v>
      </c>
      <c r="F100" s="6">
        <f ca="1">IFERROR(__xludf.DUMMYFUNCTION("GoogleFinance(A100, ""beta"")"),0.43)</f>
        <v>0.43</v>
      </c>
      <c r="G100" s="13">
        <f ca="1">IFERROR(__xludf.DUMMYFUNCTION("GOOGLEFINANCE(A100,""shares"")"),124106000)</f>
        <v>124106000</v>
      </c>
      <c r="H100" s="10">
        <f ca="1">IFERROR(__xludf.DUMMYFUNCTION("GOOGLEFINANCE(A100,""marketcap"")"),19001915668)</f>
        <v>19001915668</v>
      </c>
      <c r="I100" s="13">
        <f ca="1">IFERROR(__xludf.DUMMYFUNCTION("GOOGLEFINANCE(A100,""volume"")"),1136963)</f>
        <v>1136963</v>
      </c>
      <c r="J100" s="13">
        <f ca="1">IFERROR(__xludf.DUMMYFUNCTION("GOOGLEFINANCE(A100,""volumeavg"")"),1135203)</f>
        <v>1135203</v>
      </c>
      <c r="K100" s="15">
        <f ca="1">IFERROR(__xludf.DUMMYFUNCTION("GOOGLEFINANCE(A100,""high52"")"),178.21)</f>
        <v>178.21</v>
      </c>
      <c r="L100" s="15">
        <f ca="1">IFERROR(__xludf.DUMMYFUNCTION("GOOGLEFINANCE(A100,""low52"")"),114.69)</f>
        <v>114.69</v>
      </c>
      <c r="M100" s="7">
        <f t="shared" ca="1" si="0"/>
        <v>45379.717931597224</v>
      </c>
    </row>
    <row r="101" spans="1:13">
      <c r="A101" s="4" t="s">
        <v>112</v>
      </c>
      <c r="B101" s="5" t="str">
        <f ca="1">IFERROR(__xludf.DUMMYFUNCTION("GoogleFinance(A101, ""name"")"),"Comerica Inc")</f>
        <v>Comerica Inc</v>
      </c>
      <c r="C101" s="15">
        <f ca="1">IFERROR(__xludf.DUMMYFUNCTION("GoogleFinance(A101, ""price"")"),54.99)</f>
        <v>54.99</v>
      </c>
      <c r="D101" s="6">
        <f ca="1">IFERROR(__xludf.DUMMYFUNCTION("GoogleFinance(A101, ""eps"")"),6.42)</f>
        <v>6.42</v>
      </c>
      <c r="E101" s="6">
        <f ca="1">IFERROR(__xludf.DUMMYFUNCTION("GOOGLEFINANCE(A101,""pe"")"),8.56)</f>
        <v>8.56</v>
      </c>
      <c r="F101" s="6">
        <f ca="1">IFERROR(__xludf.DUMMYFUNCTION("GoogleFinance(A101, ""beta"")"),1.25)</f>
        <v>1.25</v>
      </c>
      <c r="G101" s="13">
        <f ca="1">IFERROR(__xludf.DUMMYFUNCTION("GOOGLEFINANCE(A101,""shares"")"),132490000)</f>
        <v>132490000</v>
      </c>
      <c r="H101" s="10">
        <f ca="1">IFERROR(__xludf.DUMMYFUNCTION("GOOGLEFINANCE(A101,""marketcap"")"),7285603326)</f>
        <v>7285603326</v>
      </c>
      <c r="I101" s="13">
        <f ca="1">IFERROR(__xludf.DUMMYFUNCTION("GOOGLEFINANCE(A101,""volume"")"),2317092)</f>
        <v>2317092</v>
      </c>
      <c r="J101" s="13">
        <f ca="1">IFERROR(__xludf.DUMMYFUNCTION("GOOGLEFINANCE(A101,""volumeavg"")"),2244182)</f>
        <v>2244182</v>
      </c>
      <c r="K101" s="15">
        <f ca="1">IFERROR(__xludf.DUMMYFUNCTION("GOOGLEFINANCE(A101,""high52"")"),57.39)</f>
        <v>57.39</v>
      </c>
      <c r="L101" s="15">
        <f ca="1">IFERROR(__xludf.DUMMYFUNCTION("GOOGLEFINANCE(A101,""low52"")"),28.4)</f>
        <v>28.4</v>
      </c>
      <c r="M101" s="7">
        <f t="shared" ca="1" si="0"/>
        <v>45379.717931597224</v>
      </c>
    </row>
    <row r="102" spans="1:13">
      <c r="A102" s="4" t="s">
        <v>113</v>
      </c>
      <c r="B102" s="5" t="str">
        <f ca="1">IFERROR(__xludf.DUMMYFUNCTION("GoogleFinance(A102, ""name"")"),"Comcast Corp")</f>
        <v>Comcast Corp</v>
      </c>
      <c r="C102" s="15">
        <f ca="1">IFERROR(__xludf.DUMMYFUNCTION("GoogleFinance(A102, ""price"")"),43.35)</f>
        <v>43.35</v>
      </c>
      <c r="D102" s="6">
        <f ca="1">IFERROR(__xludf.DUMMYFUNCTION("GoogleFinance(A102, ""eps"")"),3.71)</f>
        <v>3.71</v>
      </c>
      <c r="E102" s="6">
        <f ca="1">IFERROR(__xludf.DUMMYFUNCTION("GOOGLEFINANCE(A102,""pe"")"),11.69)</f>
        <v>11.69</v>
      </c>
      <c r="F102" s="6">
        <f ca="1">IFERROR(__xludf.DUMMYFUNCTION("GoogleFinance(A102, ""beta"")"),0.98)</f>
        <v>0.98</v>
      </c>
      <c r="G102" s="13">
        <f ca="1">IFERROR(__xludf.DUMMYFUNCTION("GOOGLEFINANCE(A102,""shares"")"),3962413000)</f>
        <v>3962413000</v>
      </c>
      <c r="H102" s="10">
        <f ca="1">IFERROR(__xludf.DUMMYFUNCTION("GOOGLEFINANCE(A102,""marketcap"")"),172179994889)</f>
        <v>172179994889</v>
      </c>
      <c r="I102" s="13">
        <f ca="1">IFERROR(__xludf.DUMMYFUNCTION("GOOGLEFINANCE(A102,""volume"")"),21157390)</f>
        <v>21157390</v>
      </c>
      <c r="J102" s="13">
        <f ca="1">IFERROR(__xludf.DUMMYFUNCTION("GOOGLEFINANCE(A102,""volumeavg"")"),20535218)</f>
        <v>20535218</v>
      </c>
      <c r="K102" s="15">
        <f ca="1">IFERROR(__xludf.DUMMYFUNCTION("GOOGLEFINANCE(A102,""high52"")"),47.46)</f>
        <v>47.46</v>
      </c>
      <c r="L102" s="15">
        <f ca="1">IFERROR(__xludf.DUMMYFUNCTION("GOOGLEFINANCE(A102,""low52"")"),36.39)</f>
        <v>36.39</v>
      </c>
      <c r="M102" s="7">
        <f t="shared" ca="1" si="0"/>
        <v>45379.717931597224</v>
      </c>
    </row>
    <row r="103" spans="1:13">
      <c r="A103" s="4" t="s">
        <v>114</v>
      </c>
      <c r="B103" s="5" t="str">
        <f ca="1">IFERROR(__xludf.DUMMYFUNCTION("GoogleFinance(A103, ""name"")"),"CME Group Inc")</f>
        <v>CME Group Inc</v>
      </c>
      <c r="C103" s="15">
        <f ca="1">IFERROR(__xludf.DUMMYFUNCTION("GoogleFinance(A103, ""price"")"),215.29)</f>
        <v>215.29</v>
      </c>
      <c r="D103" s="6">
        <f ca="1">IFERROR(__xludf.DUMMYFUNCTION("GoogleFinance(A103, ""eps"")"),8.86)</f>
        <v>8.86</v>
      </c>
      <c r="E103" s="6">
        <f ca="1">IFERROR(__xludf.DUMMYFUNCTION("GOOGLEFINANCE(A103,""pe"")"),24.3)</f>
        <v>24.3</v>
      </c>
      <c r="F103" s="6">
        <f ca="1">IFERROR(__xludf.DUMMYFUNCTION("GoogleFinance(A103, ""beta"")"),0.49)</f>
        <v>0.49</v>
      </c>
      <c r="G103" s="13">
        <f ca="1">IFERROR(__xludf.DUMMYFUNCTION("GOOGLEFINANCE(A103,""shares"")"),359992000)</f>
        <v>359992000</v>
      </c>
      <c r="H103" s="10">
        <f ca="1">IFERROR(__xludf.DUMMYFUNCTION("GOOGLEFINANCE(A103,""marketcap"")"),77509822890)</f>
        <v>77509822890</v>
      </c>
      <c r="I103" s="13">
        <f ca="1">IFERROR(__xludf.DUMMYFUNCTION("GOOGLEFINANCE(A103,""volume"")"),1755063)</f>
        <v>1755063</v>
      </c>
      <c r="J103" s="13">
        <f ca="1">IFERROR(__xludf.DUMMYFUNCTION("GOOGLEFINANCE(A103,""volumeavg"")"),1562385)</f>
        <v>1562385</v>
      </c>
      <c r="K103" s="15">
        <f ca="1">IFERROR(__xludf.DUMMYFUNCTION("GOOGLEFINANCE(A103,""high52"")"),223.8)</f>
        <v>223.8</v>
      </c>
      <c r="L103" s="15">
        <f ca="1">IFERROR(__xludf.DUMMYFUNCTION("GOOGLEFINANCE(A103,""low52"")"),175.73)</f>
        <v>175.73</v>
      </c>
      <c r="M103" s="7">
        <f t="shared" ca="1" si="0"/>
        <v>45379.717931597224</v>
      </c>
    </row>
    <row r="104" spans="1:13">
      <c r="A104" s="4" t="s">
        <v>115</v>
      </c>
      <c r="B104" s="5" t="str">
        <f ca="1">IFERROR(__xludf.DUMMYFUNCTION("GoogleFinance(A104, ""name"")"),"Chipotle Mexican Grill, Inc.")</f>
        <v>Chipotle Mexican Grill, Inc.</v>
      </c>
      <c r="C104" s="15">
        <f ca="1">IFERROR(__xludf.DUMMYFUNCTION("GoogleFinance(A104, ""price"")"),2906.77)</f>
        <v>2906.77</v>
      </c>
      <c r="D104" s="6">
        <f ca="1">IFERROR(__xludf.DUMMYFUNCTION("GoogleFinance(A104, ""eps"")"),44.34)</f>
        <v>44.34</v>
      </c>
      <c r="E104" s="6">
        <f ca="1">IFERROR(__xludf.DUMMYFUNCTION("GOOGLEFINANCE(A104,""pe"")"),65.55)</f>
        <v>65.55</v>
      </c>
      <c r="F104" s="6">
        <f ca="1">IFERROR(__xludf.DUMMYFUNCTION("GoogleFinance(A104, ""beta"")"),1.29)</f>
        <v>1.29</v>
      </c>
      <c r="G104" s="13">
        <f ca="1">IFERROR(__xludf.DUMMYFUNCTION("GOOGLEFINANCE(A104,""shares"")"),27421000)</f>
        <v>27421000</v>
      </c>
      <c r="H104" s="10">
        <f ca="1">IFERROR(__xludf.DUMMYFUNCTION("GOOGLEFINANCE(A104,""marketcap"")"),79707005788)</f>
        <v>79707005788</v>
      </c>
      <c r="I104" s="13">
        <f ca="1">IFERROR(__xludf.DUMMYFUNCTION("GOOGLEFINANCE(A104,""volume"")"),292572)</f>
        <v>292572</v>
      </c>
      <c r="J104" s="13">
        <f ca="1">IFERROR(__xludf.DUMMYFUNCTION("GOOGLEFINANCE(A104,""volumeavg"")"),208536)</f>
        <v>208536</v>
      </c>
      <c r="K104" s="15">
        <f ca="1">IFERROR(__xludf.DUMMYFUNCTION("GOOGLEFINANCE(A104,""high52"")"),3023.98)</f>
        <v>3023.98</v>
      </c>
      <c r="L104" s="15">
        <f ca="1">IFERROR(__xludf.DUMMYFUNCTION("GOOGLEFINANCE(A104,""low52"")"),1645.03)</f>
        <v>1645.03</v>
      </c>
      <c r="M104" s="7">
        <f t="shared" ca="1" si="0"/>
        <v>45379.717931597224</v>
      </c>
    </row>
    <row r="105" spans="1:13">
      <c r="A105" s="4" t="s">
        <v>116</v>
      </c>
      <c r="B105" s="5" t="str">
        <f ca="1">IFERROR(__xludf.DUMMYFUNCTION("GoogleFinance(A105, ""name"")"),"Cummins Inc")</f>
        <v>Cummins Inc</v>
      </c>
      <c r="C105" s="15">
        <f ca="1">IFERROR(__xludf.DUMMYFUNCTION("GoogleFinance(A105, ""price"")"),294.65)</f>
        <v>294.64999999999998</v>
      </c>
      <c r="D105" s="6">
        <f ca="1">IFERROR(__xludf.DUMMYFUNCTION("GoogleFinance(A105, ""eps"")"),5.15)</f>
        <v>5.15</v>
      </c>
      <c r="E105" s="6">
        <f ca="1">IFERROR(__xludf.DUMMYFUNCTION("GOOGLEFINANCE(A105,""pe"")"),57.21)</f>
        <v>57.21</v>
      </c>
      <c r="F105" s="6">
        <f ca="1">IFERROR(__xludf.DUMMYFUNCTION("GoogleFinance(A105, ""beta"")"),1.03)</f>
        <v>1.03</v>
      </c>
      <c r="G105" s="13">
        <f ca="1">IFERROR(__xludf.DUMMYFUNCTION("GOOGLEFINANCE(A105,""shares"")"),141857000)</f>
        <v>141857000</v>
      </c>
      <c r="H105" s="10">
        <f ca="1">IFERROR(__xludf.DUMMYFUNCTION("GOOGLEFINANCE(A105,""marketcap"")"),40155726188)</f>
        <v>40155726188</v>
      </c>
      <c r="I105" s="13">
        <f ca="1">IFERROR(__xludf.DUMMYFUNCTION("GOOGLEFINANCE(A105,""volume"")"),1107283)</f>
        <v>1107283</v>
      </c>
      <c r="J105" s="13">
        <f ca="1">IFERROR(__xludf.DUMMYFUNCTION("GOOGLEFINANCE(A105,""volumeavg"")"),5714756)</f>
        <v>5714756</v>
      </c>
      <c r="K105" s="15">
        <f ca="1">IFERROR(__xludf.DUMMYFUNCTION("GOOGLEFINANCE(A105,""high52"")"),297.11)</f>
        <v>297.11</v>
      </c>
      <c r="L105" s="15">
        <f ca="1">IFERROR(__xludf.DUMMYFUNCTION("GOOGLEFINANCE(A105,""low52"")"),203.18)</f>
        <v>203.18</v>
      </c>
      <c r="M105" s="7">
        <f t="shared" ca="1" si="0"/>
        <v>45379.717931597224</v>
      </c>
    </row>
    <row r="106" spans="1:13">
      <c r="A106" s="4" t="s">
        <v>117</v>
      </c>
      <c r="B106" s="5" t="str">
        <f ca="1">IFERROR(__xludf.DUMMYFUNCTION("GoogleFinance(A106, ""name"")"),"CMS Energy Corporation")</f>
        <v>CMS Energy Corporation</v>
      </c>
      <c r="C106" s="15">
        <f ca="1">IFERROR(__xludf.DUMMYFUNCTION("GoogleFinance(A106, ""price"")"),60.34)</f>
        <v>60.34</v>
      </c>
      <c r="D106" s="6">
        <f ca="1">IFERROR(__xludf.DUMMYFUNCTION("GoogleFinance(A106, ""eps"")"),2.87)</f>
        <v>2.87</v>
      </c>
      <c r="E106" s="6">
        <f ca="1">IFERROR(__xludf.DUMMYFUNCTION("GOOGLEFINANCE(A106,""pe"")"),21.05)</f>
        <v>21.05</v>
      </c>
      <c r="F106" s="6">
        <f ca="1">IFERROR(__xludf.DUMMYFUNCTION("GoogleFinance(A106, ""beta"")"),0.37)</f>
        <v>0.37</v>
      </c>
      <c r="G106" s="13">
        <f ca="1">IFERROR(__xludf.DUMMYFUNCTION("GOOGLEFINANCE(A106,""shares"")"),298618000)</f>
        <v>298618000</v>
      </c>
      <c r="H106" s="10">
        <f ca="1">IFERROR(__xludf.DUMMYFUNCTION("GOOGLEFINANCE(A106,""marketcap"")"),18018604131)</f>
        <v>18018604131</v>
      </c>
      <c r="I106" s="13">
        <f ca="1">IFERROR(__xludf.DUMMYFUNCTION("GOOGLEFINANCE(A106,""volume"")"),2363553)</f>
        <v>2363553</v>
      </c>
      <c r="J106" s="13">
        <f ca="1">IFERROR(__xludf.DUMMYFUNCTION("GOOGLEFINANCE(A106,""volumeavg"")"),2564230)</f>
        <v>2564230</v>
      </c>
      <c r="K106" s="15">
        <f ca="1">IFERROR(__xludf.DUMMYFUNCTION("GOOGLEFINANCE(A106,""high52"")"),63.76)</f>
        <v>63.76</v>
      </c>
      <c r="L106" s="15">
        <f ca="1">IFERROR(__xludf.DUMMYFUNCTION("GOOGLEFINANCE(A106,""low52"")"),49.87)</f>
        <v>49.87</v>
      </c>
      <c r="M106" s="7">
        <f t="shared" ca="1" si="0"/>
        <v>45379.717931597224</v>
      </c>
    </row>
    <row r="107" spans="1:13">
      <c r="A107" s="4" t="s">
        <v>118</v>
      </c>
      <c r="B107" s="5" t="str">
        <f ca="1">IFERROR(__xludf.DUMMYFUNCTION("GoogleFinance(A107, ""name"")"),"Centene Corp")</f>
        <v>Centene Corp</v>
      </c>
      <c r="C107" s="15">
        <f ca="1">IFERROR(__xludf.DUMMYFUNCTION("GoogleFinance(A107, ""price"")"),78.48)</f>
        <v>78.48</v>
      </c>
      <c r="D107" s="6">
        <f ca="1">IFERROR(__xludf.DUMMYFUNCTION("GoogleFinance(A107, ""eps"")"),4.95)</f>
        <v>4.95</v>
      </c>
      <c r="E107" s="6">
        <f ca="1">IFERROR(__xludf.DUMMYFUNCTION("GOOGLEFINANCE(A107,""pe"")"),15.85)</f>
        <v>15.85</v>
      </c>
      <c r="F107" s="6">
        <f ca="1">IFERROR(__xludf.DUMMYFUNCTION("GoogleFinance(A107, ""beta"")"),0.38)</f>
        <v>0.38</v>
      </c>
      <c r="G107" s="13">
        <f ca="1">IFERROR(__xludf.DUMMYFUNCTION("GOOGLEFINANCE(A107,""shares"")"),534863000)</f>
        <v>534863000</v>
      </c>
      <c r="H107" s="10">
        <f ca="1">IFERROR(__xludf.DUMMYFUNCTION("GOOGLEFINANCE(A107,""marketcap"")"),41976050035)</f>
        <v>41976050035</v>
      </c>
      <c r="I107" s="13">
        <f ca="1">IFERROR(__xludf.DUMMYFUNCTION("GOOGLEFINANCE(A107,""volume"")"),3351966)</f>
        <v>3351966</v>
      </c>
      <c r="J107" s="13">
        <f ca="1">IFERROR(__xludf.DUMMYFUNCTION("GOOGLEFINANCE(A107,""volumeavg"")"),2834180)</f>
        <v>2834180</v>
      </c>
      <c r="K107" s="15">
        <f ca="1">IFERROR(__xludf.DUMMYFUNCTION("GOOGLEFINANCE(A107,""high52"")"),81.42)</f>
        <v>81.42</v>
      </c>
      <c r="L107" s="15">
        <f ca="1">IFERROR(__xludf.DUMMYFUNCTION("GOOGLEFINANCE(A107,""low52"")"),60.83)</f>
        <v>60.83</v>
      </c>
      <c r="M107" s="7">
        <f t="shared" ca="1" si="0"/>
        <v>45379.717931597224</v>
      </c>
    </row>
    <row r="108" spans="1:13">
      <c r="A108" s="4" t="s">
        <v>119</v>
      </c>
      <c r="B108" s="5" t="str">
        <f ca="1">IFERROR(__xludf.DUMMYFUNCTION("GoogleFinance(A108, ""name"")"),"CenterPoint Energy Inc")</f>
        <v>CenterPoint Energy Inc</v>
      </c>
      <c r="C108" s="15">
        <f ca="1">IFERROR(__xludf.DUMMYFUNCTION("GoogleFinance(A108, ""price"")"),28.49)</f>
        <v>28.49</v>
      </c>
      <c r="D108" s="6">
        <f ca="1">IFERROR(__xludf.DUMMYFUNCTION("GoogleFinance(A108, ""eps"")"),1.37)</f>
        <v>1.37</v>
      </c>
      <c r="E108" s="6">
        <f ca="1">IFERROR(__xludf.DUMMYFUNCTION("GOOGLEFINANCE(A108,""pe"")"),20.8)</f>
        <v>20.8</v>
      </c>
      <c r="F108" s="6">
        <f ca="1">IFERROR(__xludf.DUMMYFUNCTION("GoogleFinance(A108, ""beta"")"),0.92)</f>
        <v>0.92</v>
      </c>
      <c r="G108" s="13">
        <f ca="1">IFERROR(__xludf.DUMMYFUNCTION("GOOGLEFINANCE(A108,""shares"")"),631595000)</f>
        <v>631595000</v>
      </c>
      <c r="H108" s="10">
        <f ca="1">IFERROR(__xludf.DUMMYFUNCTION("GOOGLEFINANCE(A108,""marketcap"")"),18036919140)</f>
        <v>18036919140</v>
      </c>
      <c r="I108" s="13">
        <f ca="1">IFERROR(__xludf.DUMMYFUNCTION("GOOGLEFINANCE(A108,""volume"")"),4440139)</f>
        <v>4440139</v>
      </c>
      <c r="J108" s="13">
        <f ca="1">IFERROR(__xludf.DUMMYFUNCTION("GOOGLEFINANCE(A108,""volumeavg"")"),4162608)</f>
        <v>4162608</v>
      </c>
      <c r="K108" s="15">
        <f ca="1">IFERROR(__xludf.DUMMYFUNCTION("GOOGLEFINANCE(A108,""high52"")"),31.44)</f>
        <v>31.44</v>
      </c>
      <c r="L108" s="15">
        <f ca="1">IFERROR(__xludf.DUMMYFUNCTION("GOOGLEFINANCE(A108,""low52"")"),25.42)</f>
        <v>25.42</v>
      </c>
      <c r="M108" s="7">
        <f t="shared" ca="1" si="0"/>
        <v>45379.717931597224</v>
      </c>
    </row>
    <row r="109" spans="1:13">
      <c r="A109" s="4" t="s">
        <v>120</v>
      </c>
      <c r="B109" s="5" t="str">
        <f ca="1">IFERROR(__xludf.DUMMYFUNCTION("GoogleFinance(A109, ""name"")"),"Capital One Financial Corp.")</f>
        <v>Capital One Financial Corp.</v>
      </c>
      <c r="C109" s="15">
        <f ca="1">IFERROR(__xludf.DUMMYFUNCTION("GoogleFinance(A109, ""price"")"),148.89)</f>
        <v>148.88999999999999</v>
      </c>
      <c r="D109" s="6">
        <f ca="1">IFERROR(__xludf.DUMMYFUNCTION("GoogleFinance(A109, ""eps"")"),11.95)</f>
        <v>11.95</v>
      </c>
      <c r="E109" s="6">
        <f ca="1">IFERROR(__xludf.DUMMYFUNCTION("GOOGLEFINANCE(A109,""pe"")"),12.46)</f>
        <v>12.46</v>
      </c>
      <c r="F109" s="6">
        <f ca="1">IFERROR(__xludf.DUMMYFUNCTION("GoogleFinance(A109, ""beta"")"),1.47)</f>
        <v>1.47</v>
      </c>
      <c r="G109" s="13">
        <f ca="1">IFERROR(__xludf.DUMMYFUNCTION("GOOGLEFINANCE(A109,""shares"")"),380212000)</f>
        <v>380212000</v>
      </c>
      <c r="H109" s="10">
        <f ca="1">IFERROR(__xludf.DUMMYFUNCTION("GOOGLEFINANCE(A109,""marketcap"")"),56891226102)</f>
        <v>56891226102</v>
      </c>
      <c r="I109" s="13">
        <f ca="1">IFERROR(__xludf.DUMMYFUNCTION("GOOGLEFINANCE(A109,""volume"")"),4038728)</f>
        <v>4038728</v>
      </c>
      <c r="J109" s="13">
        <f ca="1">IFERROR(__xludf.DUMMYFUNCTION("GOOGLEFINANCE(A109,""volumeavg"")"),2973288)</f>
        <v>2973288</v>
      </c>
      <c r="K109" s="15">
        <f ca="1">IFERROR(__xludf.DUMMYFUNCTION("GOOGLEFINANCE(A109,""high52"")"),149.28)</f>
        <v>149.28</v>
      </c>
      <c r="L109" s="15">
        <f ca="1">IFERROR(__xludf.DUMMYFUNCTION("GOOGLEFINANCE(A109,""low52"")"),83.93)</f>
        <v>83.93</v>
      </c>
      <c r="M109" s="7">
        <f t="shared" ca="1" si="0"/>
        <v>45379.717931597224</v>
      </c>
    </row>
    <row r="110" spans="1:13">
      <c r="A110" s="4" t="s">
        <v>121</v>
      </c>
      <c r="B110" s="5" t="str">
        <f ca="1">IFERROR(__xludf.DUMMYFUNCTION("GoogleFinance(A110, ""name"")"),"Cooper Companies Inc")</f>
        <v>Cooper Companies Inc</v>
      </c>
      <c r="C110" s="15">
        <f ca="1">IFERROR(__xludf.DUMMYFUNCTION("GoogleFinance(A110, ""price"")"),101.46)</f>
        <v>101.46</v>
      </c>
      <c r="D110" s="6">
        <f ca="1">IFERROR(__xludf.DUMMYFUNCTION("GoogleFinance(A110, ""eps"")"),0.99)</f>
        <v>0.99</v>
      </c>
      <c r="E110" s="6">
        <f ca="1">IFERROR(__xludf.DUMMYFUNCTION("GOOGLEFINANCE(A110,""pe"")"),102.53)</f>
        <v>102.53</v>
      </c>
      <c r="F110" s="6">
        <f ca="1">IFERROR(__xludf.DUMMYFUNCTION("GoogleFinance(A110, ""beta"")"),0.93)</f>
        <v>0.93</v>
      </c>
      <c r="G110" s="13">
        <f ca="1">IFERROR(__xludf.DUMMYFUNCTION("GOOGLEFINANCE(A110,""shares"")"),198756000)</f>
        <v>198756000</v>
      </c>
      <c r="H110" s="10">
        <f ca="1">IFERROR(__xludf.DUMMYFUNCTION("GOOGLEFINANCE(A110,""marketcap"")"),20165803870)</f>
        <v>20165803870</v>
      </c>
      <c r="I110" s="13">
        <f ca="1">IFERROR(__xludf.DUMMYFUNCTION("GOOGLEFINANCE(A110,""volume"")"),887890)</f>
        <v>887890</v>
      </c>
      <c r="J110" s="13">
        <f ca="1">IFERROR(__xludf.DUMMYFUNCTION("GOOGLEFINANCE(A110,""volumeavg"")"),1339999)</f>
        <v>1339999</v>
      </c>
      <c r="K110" s="15">
        <f ca="1">IFERROR(__xludf.DUMMYFUNCTION("GOOGLEFINANCE(A110,""high52"")"),104.07)</f>
        <v>104.07</v>
      </c>
      <c r="L110" s="15">
        <f ca="1">IFERROR(__xludf.DUMMYFUNCTION("GOOGLEFINANCE(A110,""low52"")"),75.94)</f>
        <v>75.94</v>
      </c>
      <c r="M110" s="7">
        <f t="shared" ca="1" si="0"/>
        <v>45379.717931597224</v>
      </c>
    </row>
    <row r="111" spans="1:13">
      <c r="A111" s="4" t="s">
        <v>122</v>
      </c>
      <c r="B111" s="5" t="str">
        <f ca="1">IFERROR(__xludf.DUMMYFUNCTION("GoogleFinance(A111, ""name"")"),"ConocoPhillips")</f>
        <v>ConocoPhillips</v>
      </c>
      <c r="C111" s="15">
        <f ca="1">IFERROR(__xludf.DUMMYFUNCTION("GoogleFinance(A111, ""price"")"),127.28)</f>
        <v>127.28</v>
      </c>
      <c r="D111" s="6">
        <f ca="1">IFERROR(__xludf.DUMMYFUNCTION("GoogleFinance(A111, ""eps"")"),9.06)</f>
        <v>9.06</v>
      </c>
      <c r="E111" s="6">
        <f ca="1">IFERROR(__xludf.DUMMYFUNCTION("GOOGLEFINANCE(A111,""pe"")"),14.05)</f>
        <v>14.05</v>
      </c>
      <c r="F111" s="6">
        <f ca="1">IFERROR(__xludf.DUMMYFUNCTION("GoogleFinance(A111, ""beta"")"),1.22)</f>
        <v>1.22</v>
      </c>
      <c r="G111" s="13">
        <f ca="1">IFERROR(__xludf.DUMMYFUNCTION("GOOGLEFINANCE(A111,""shares"")"),1176408000)</f>
        <v>1176408000</v>
      </c>
      <c r="H111" s="10">
        <f ca="1">IFERROR(__xludf.DUMMYFUNCTION("GOOGLEFINANCE(A111,""marketcap"")"),149733208803)</f>
        <v>149733208803</v>
      </c>
      <c r="I111" s="13">
        <f ca="1">IFERROR(__xludf.DUMMYFUNCTION("GOOGLEFINANCE(A111,""volume"")"),4657896)</f>
        <v>4657896</v>
      </c>
      <c r="J111" s="13">
        <f ca="1">IFERROR(__xludf.DUMMYFUNCTION("GOOGLEFINANCE(A111,""volumeavg"")"),6047080)</f>
        <v>6047080</v>
      </c>
      <c r="K111" s="15">
        <f ca="1">IFERROR(__xludf.DUMMYFUNCTION("GOOGLEFINANCE(A111,""high52"")"),128.64)</f>
        <v>128.63999999999999</v>
      </c>
      <c r="L111" s="15">
        <f ca="1">IFERROR(__xludf.DUMMYFUNCTION("GOOGLEFINANCE(A111,""low52"")"),95.7)</f>
        <v>95.7</v>
      </c>
      <c r="M111" s="7">
        <f t="shared" ca="1" si="0"/>
        <v>45379.717931597224</v>
      </c>
    </row>
    <row r="112" spans="1:13">
      <c r="A112" s="4" t="s">
        <v>123</v>
      </c>
      <c r="B112" s="5" t="str">
        <f ca="1">IFERROR(__xludf.DUMMYFUNCTION("GoogleFinance(A112, ""name"")"),"Cencora Inc")</f>
        <v>Cencora Inc</v>
      </c>
      <c r="C112" s="15">
        <f ca="1">IFERROR(__xludf.DUMMYFUNCTION("GoogleFinance(A112, ""price"")"),242.99)</f>
        <v>242.99</v>
      </c>
      <c r="D112" s="6">
        <f ca="1">IFERROR(__xludf.DUMMYFUNCTION("GoogleFinance(A112, ""eps"")"),8.21)</f>
        <v>8.2100000000000009</v>
      </c>
      <c r="E112" s="6">
        <f ca="1">IFERROR(__xludf.DUMMYFUNCTION("GOOGLEFINANCE(A112,""pe"")"),21.93)</f>
        <v>21.93</v>
      </c>
      <c r="F112" s="6">
        <f ca="1">IFERROR(__xludf.DUMMYFUNCTION("GoogleFinance(A112, ""beta"")"),0.56)</f>
        <v>0.56000000000000005</v>
      </c>
      <c r="G112" s="13">
        <f ca="1">IFERROR(__xludf.DUMMYFUNCTION("GOOGLEFINANCE(A112,""shares"")"),200854000)</f>
        <v>200854000</v>
      </c>
      <c r="H112" s="10">
        <f ca="1">IFERROR(__xludf.DUMMYFUNCTION("GOOGLEFINANCE(A112,""marketcap"")"),10739604225)</f>
        <v>10739604225</v>
      </c>
      <c r="I112" s="13">
        <f ca="1">IFERROR(__xludf.DUMMYFUNCTION("GOOGLEFINANCE(A112,""volume"")"),1574353)</f>
        <v>1574353</v>
      </c>
      <c r="J112" s="13">
        <f ca="1">IFERROR(__xludf.DUMMYFUNCTION("GOOGLEFINANCE(A112,""volumeavg"")"),1128428)</f>
        <v>1128428</v>
      </c>
      <c r="K112" s="15">
        <f ca="1">IFERROR(__xludf.DUMMYFUNCTION("GOOGLEFINANCE(A112,""high52"")"),244.68)</f>
        <v>244.68</v>
      </c>
      <c r="L112" s="15">
        <f ca="1">IFERROR(__xludf.DUMMYFUNCTION("GOOGLEFINANCE(A112,""low52"")"),171.65)</f>
        <v>171.65</v>
      </c>
      <c r="M112" s="7">
        <f t="shared" ca="1" si="0"/>
        <v>45379.717931597224</v>
      </c>
    </row>
    <row r="113" spans="1:13">
      <c r="A113" s="4" t="s">
        <v>124</v>
      </c>
      <c r="B113" s="5" t="str">
        <f ca="1">IFERROR(__xludf.DUMMYFUNCTION("GoogleFinance(A113, ""name"")"),"Costco Wholesale Corporation")</f>
        <v>Costco Wholesale Corporation</v>
      </c>
      <c r="C113" s="15">
        <f ca="1">IFERROR(__xludf.DUMMYFUNCTION("GoogleFinance(A113, ""price"")"),732.63)</f>
        <v>732.63</v>
      </c>
      <c r="D113" s="6">
        <f ca="1">IFERROR(__xludf.DUMMYFUNCTION("GoogleFinance(A113, ""eps"")"),15.28)</f>
        <v>15.28</v>
      </c>
      <c r="E113" s="6">
        <f ca="1">IFERROR(__xludf.DUMMYFUNCTION("GOOGLEFINANCE(A113,""pe"")"),47.93)</f>
        <v>47.93</v>
      </c>
      <c r="F113" s="6">
        <f ca="1">IFERROR(__xludf.DUMMYFUNCTION("GoogleFinance(A113, ""beta"")"),0.77)</f>
        <v>0.77</v>
      </c>
      <c r="G113" s="13">
        <f ca="1">IFERROR(__xludf.DUMMYFUNCTION("GOOGLEFINANCE(A113,""shares"")"),443504000)</f>
        <v>443504000</v>
      </c>
      <c r="H113" s="10">
        <f ca="1">IFERROR(__xludf.DUMMYFUNCTION("GOOGLEFINANCE(A113,""marketcap"")"),324924264422)</f>
        <v>324924264422</v>
      </c>
      <c r="I113" s="13">
        <f ca="1">IFERROR(__xludf.DUMMYFUNCTION("GOOGLEFINANCE(A113,""volume"")"),1713204)</f>
        <v>1713204</v>
      </c>
      <c r="J113" s="13">
        <f ca="1">IFERROR(__xludf.DUMMYFUNCTION("GOOGLEFINANCE(A113,""volumeavg"")"),2300591)</f>
        <v>2300591</v>
      </c>
      <c r="K113" s="15">
        <f ca="1">IFERROR(__xludf.DUMMYFUNCTION("GOOGLEFINANCE(A113,""high52"")"),787.08)</f>
        <v>787.08</v>
      </c>
      <c r="L113" s="15">
        <f ca="1">IFERROR(__xludf.DUMMYFUNCTION("GOOGLEFINANCE(A113,""low52"")"),476.75)</f>
        <v>476.75</v>
      </c>
      <c r="M113" s="7">
        <f t="shared" ca="1" si="0"/>
        <v>45379.717931597224</v>
      </c>
    </row>
    <row r="114" spans="1:13">
      <c r="A114" s="4" t="s">
        <v>125</v>
      </c>
      <c r="B114" s="5" t="str">
        <f ca="1">IFERROR(__xludf.DUMMYFUNCTION("GoogleFinance(A114, ""name"")"),"Campbell Soup Company")</f>
        <v>Campbell Soup Company</v>
      </c>
      <c r="C114" s="15">
        <f ca="1">IFERROR(__xludf.DUMMYFUNCTION("GoogleFinance(A114, ""price"")"),44.45)</f>
        <v>44.45</v>
      </c>
      <c r="D114" s="6">
        <f ca="1">IFERROR(__xludf.DUMMYFUNCTION("GoogleFinance(A114, ""eps"")"),2.55)</f>
        <v>2.5499999999999998</v>
      </c>
      <c r="E114" s="6">
        <f ca="1">IFERROR(__xludf.DUMMYFUNCTION("GOOGLEFINANCE(A114,""pe"")"),17.4)</f>
        <v>17.399999999999999</v>
      </c>
      <c r="F114" s="6">
        <f ca="1">IFERROR(__xludf.DUMMYFUNCTION("GoogleFinance(A114, ""beta"")"),0.24)</f>
        <v>0.24</v>
      </c>
      <c r="G114" s="13">
        <f ca="1">IFERROR(__xludf.DUMMYFUNCTION("GOOGLEFINANCE(A114,""shares"")"),298103000)</f>
        <v>298103000</v>
      </c>
      <c r="H114" s="10">
        <f ca="1">IFERROR(__xludf.DUMMYFUNCTION("GOOGLEFINANCE(A114,""marketcap"")"),13250656352)</f>
        <v>13250656352</v>
      </c>
      <c r="I114" s="13">
        <f ca="1">IFERROR(__xludf.DUMMYFUNCTION("GOOGLEFINANCE(A114,""volume"")"),2889078)</f>
        <v>2889078</v>
      </c>
      <c r="J114" s="13">
        <f ca="1">IFERROR(__xludf.DUMMYFUNCTION("GOOGLEFINANCE(A114,""volumeavg"")"),2906772)</f>
        <v>2906772</v>
      </c>
      <c r="K114" s="15">
        <f ca="1">IFERROR(__xludf.DUMMYFUNCTION("GOOGLEFINANCE(A114,""high52"")"),56.04)</f>
        <v>56.04</v>
      </c>
      <c r="L114" s="15">
        <f ca="1">IFERROR(__xludf.DUMMYFUNCTION("GOOGLEFINANCE(A114,""low52"")"),37.94)</f>
        <v>37.94</v>
      </c>
      <c r="M114" s="7">
        <f t="shared" ca="1" si="0"/>
        <v>45379.717931597224</v>
      </c>
    </row>
    <row r="115" spans="1:13">
      <c r="A115" s="4" t="s">
        <v>126</v>
      </c>
      <c r="B115" s="5" t="str">
        <f ca="1">IFERROR(__xludf.DUMMYFUNCTION("GoogleFinance(A115, ""name"")"),"Copart Inc")</f>
        <v>Copart Inc</v>
      </c>
      <c r="C115" s="15">
        <f ca="1">IFERROR(__xludf.DUMMYFUNCTION("GoogleFinance(A115, ""price"")"),57.92)</f>
        <v>57.92</v>
      </c>
      <c r="D115" s="6">
        <f ca="1">IFERROR(__xludf.DUMMYFUNCTION("GoogleFinance(A115, ""eps"")"),1.11)</f>
        <v>1.1100000000000001</v>
      </c>
      <c r="E115" s="6">
        <f ca="1">IFERROR(__xludf.DUMMYFUNCTION("GOOGLEFINANCE(A115,""pe"")"),52.16)</f>
        <v>52.16</v>
      </c>
      <c r="F115" s="6">
        <f ca="1">IFERROR(__xludf.DUMMYFUNCTION("GoogleFinance(A115, ""beta"")"),1.22)</f>
        <v>1.22</v>
      </c>
      <c r="G115" s="13">
        <f ca="1">IFERROR(__xludf.DUMMYFUNCTION("GOOGLEFINANCE(A115,""shares"")"),961462000)</f>
        <v>961462000</v>
      </c>
      <c r="H115" s="10">
        <f ca="1">IFERROR(__xludf.DUMMYFUNCTION("GOOGLEFINANCE(A115,""marketcap"")"),55687859903)</f>
        <v>55687859903</v>
      </c>
      <c r="I115" s="13">
        <f ca="1">IFERROR(__xludf.DUMMYFUNCTION("GOOGLEFINANCE(A115,""volume"")"),5084249)</f>
        <v>5084249</v>
      </c>
      <c r="J115" s="13">
        <f ca="1">IFERROR(__xludf.DUMMYFUNCTION("GOOGLEFINANCE(A115,""volumeavg"")"),5697022)</f>
        <v>5697022</v>
      </c>
      <c r="K115" s="15">
        <f ca="1">IFERROR(__xludf.DUMMYFUNCTION("GOOGLEFINANCE(A115,""high52"")"),58.15)</f>
        <v>58.15</v>
      </c>
      <c r="L115" s="15">
        <f ca="1">IFERROR(__xludf.DUMMYFUNCTION("GOOGLEFINANCE(A115,""low52"")"),36.3)</f>
        <v>36.299999999999997</v>
      </c>
      <c r="M115" s="7">
        <f t="shared" ca="1" si="0"/>
        <v>45379.717931597224</v>
      </c>
    </row>
    <row r="116" spans="1:13">
      <c r="A116" s="4" t="s">
        <v>127</v>
      </c>
      <c r="B116" s="5" t="str">
        <f ca="1">IFERROR(__xludf.DUMMYFUNCTION("GoogleFinance(A116, ""name"")"),"Camden Property Trust")</f>
        <v>Camden Property Trust</v>
      </c>
      <c r="C116" s="15">
        <f ca="1">IFERROR(__xludf.DUMMYFUNCTION("GoogleFinance(A116, ""price"")"),98.4)</f>
        <v>98.4</v>
      </c>
      <c r="D116" s="6">
        <f ca="1">IFERROR(__xludf.DUMMYFUNCTION("GoogleFinance(A116, ""eps"")"),3.68)</f>
        <v>3.68</v>
      </c>
      <c r="E116" s="6">
        <f ca="1">IFERROR(__xludf.DUMMYFUNCTION("GOOGLEFINANCE(A116,""pe"")"),26.73)</f>
        <v>26.73</v>
      </c>
      <c r="F116" s="6">
        <f ca="1">IFERROR(__xludf.DUMMYFUNCTION("GoogleFinance(A116, ""beta"")"),0.82)</f>
        <v>0.82</v>
      </c>
      <c r="G116" s="13">
        <f ca="1">IFERROR(__xludf.DUMMYFUNCTION("GOOGLEFINANCE(A116,""shares"")"),106969000)</f>
        <v>106969000</v>
      </c>
      <c r="H116" s="10">
        <f ca="1">IFERROR(__xludf.DUMMYFUNCTION("GOOGLEFINANCE(A116,""marketcap"")"),10710761446)</f>
        <v>10710761446</v>
      </c>
      <c r="I116" s="13">
        <f ca="1">IFERROR(__xludf.DUMMYFUNCTION("GOOGLEFINANCE(A116,""volume"")"),1216725)</f>
        <v>1216725</v>
      </c>
      <c r="J116" s="13">
        <f ca="1">IFERROR(__xludf.DUMMYFUNCTION("GOOGLEFINANCE(A116,""volumeavg"")"),1095764)</f>
        <v>1095764</v>
      </c>
      <c r="K116" s="15">
        <f ca="1">IFERROR(__xludf.DUMMYFUNCTION("GOOGLEFINANCE(A116,""high52"")"),114.04)</f>
        <v>114.04</v>
      </c>
      <c r="L116" s="15">
        <f ca="1">IFERROR(__xludf.DUMMYFUNCTION("GOOGLEFINANCE(A116,""low52"")"),82.81)</f>
        <v>82.81</v>
      </c>
      <c r="M116" s="7">
        <f t="shared" ca="1" si="0"/>
        <v>45379.717931597224</v>
      </c>
    </row>
    <row r="117" spans="1:13">
      <c r="A117" s="4" t="s">
        <v>128</v>
      </c>
      <c r="B117" s="5" t="str">
        <f ca="1">IFERROR(__xludf.DUMMYFUNCTION("GoogleFinance(A117, ""name"")"),"Charles River Lbrtrs ntrntl Inc")</f>
        <v>Charles River Lbrtrs ntrntl Inc</v>
      </c>
      <c r="C117" s="15">
        <f ca="1">IFERROR(__xludf.DUMMYFUNCTION("GoogleFinance(A117, ""price"")"),270.95)</f>
        <v>270.95</v>
      </c>
      <c r="D117" s="6">
        <f ca="1">IFERROR(__xludf.DUMMYFUNCTION("GoogleFinance(A117, ""eps"")"),9.22)</f>
        <v>9.2200000000000006</v>
      </c>
      <c r="E117" s="6">
        <f ca="1">IFERROR(__xludf.DUMMYFUNCTION("GOOGLEFINANCE(A117,""pe"")"),29.37)</f>
        <v>29.37</v>
      </c>
      <c r="F117" s="6">
        <f ca="1">IFERROR(__xludf.DUMMYFUNCTION("GoogleFinance(A117, ""beta"")"),1.39)</f>
        <v>1.39</v>
      </c>
      <c r="G117" s="13">
        <f ca="1">IFERROR(__xludf.DUMMYFUNCTION("GOOGLEFINANCE(A117,""shares"")"),51350000)</f>
        <v>51350000</v>
      </c>
      <c r="H117" s="10">
        <f ca="1">IFERROR(__xludf.DUMMYFUNCTION("GOOGLEFINANCE(A117,""marketcap"")"),13913220808)</f>
        <v>13913220808</v>
      </c>
      <c r="I117" s="13">
        <f ca="1">IFERROR(__xludf.DUMMYFUNCTION("GOOGLEFINANCE(A117,""volume"")"),497507)</f>
        <v>497507</v>
      </c>
      <c r="J117" s="13">
        <f ca="1">IFERROR(__xludf.DUMMYFUNCTION("GOOGLEFINANCE(A117,""volumeavg"")"),564726)</f>
        <v>564726</v>
      </c>
      <c r="K117" s="15">
        <f ca="1">IFERROR(__xludf.DUMMYFUNCTION("GOOGLEFINANCE(A117,""high52"")"),275)</f>
        <v>275</v>
      </c>
      <c r="L117" s="15">
        <f ca="1">IFERROR(__xludf.DUMMYFUNCTION("GOOGLEFINANCE(A117,""low52"")"),161.65)</f>
        <v>161.65</v>
      </c>
      <c r="M117" s="7">
        <f t="shared" ca="1" si="0"/>
        <v>45379.717931597224</v>
      </c>
    </row>
    <row r="118" spans="1:13">
      <c r="A118" s="4" t="s">
        <v>129</v>
      </c>
      <c r="B118" s="5" t="str">
        <f ca="1">IFERROR(__xludf.DUMMYFUNCTION("GoogleFinance(A118, ""name"")"),"Salesforce Inc")</f>
        <v>Salesforce Inc</v>
      </c>
      <c r="C118" s="15">
        <f ca="1">IFERROR(__xludf.DUMMYFUNCTION("GoogleFinance(A118, ""price"")"),301.18)</f>
        <v>301.18</v>
      </c>
      <c r="D118" s="6">
        <f ca="1">IFERROR(__xludf.DUMMYFUNCTION("GoogleFinance(A118, ""eps"")"),4.2)</f>
        <v>4.2</v>
      </c>
      <c r="E118" s="6">
        <f ca="1">IFERROR(__xludf.DUMMYFUNCTION("GOOGLEFINANCE(A118,""pe"")"),71.65)</f>
        <v>71.650000000000006</v>
      </c>
      <c r="F118" s="6">
        <f ca="1">IFERROR(__xludf.DUMMYFUNCTION("GoogleFinance(A118, ""beta"")"),1.28)</f>
        <v>1.28</v>
      </c>
      <c r="G118" s="13">
        <f ca="1">IFERROR(__xludf.DUMMYFUNCTION("GOOGLEFINANCE(A118,""shares"")"),970000000)</f>
        <v>970000000</v>
      </c>
      <c r="H118" s="10">
        <f ca="1">IFERROR(__xludf.DUMMYFUNCTION("GOOGLEFINANCE(A118,""marketcap"")"),291542172674)</f>
        <v>291542172674</v>
      </c>
      <c r="I118" s="13">
        <f ca="1">IFERROR(__xludf.DUMMYFUNCTION("GOOGLEFINANCE(A118,""volume"")"),4892244)</f>
        <v>4892244</v>
      </c>
      <c r="J118" s="13">
        <f ca="1">IFERROR(__xludf.DUMMYFUNCTION("GOOGLEFINANCE(A118,""volumeavg"")"),6331214)</f>
        <v>6331214</v>
      </c>
      <c r="K118" s="15">
        <f ca="1">IFERROR(__xludf.DUMMYFUNCTION("GOOGLEFINANCE(A118,""high52"")"),318.71)</f>
        <v>318.70999999999998</v>
      </c>
      <c r="L118" s="15">
        <f ca="1">IFERROR(__xludf.DUMMYFUNCTION("GOOGLEFINANCE(A118,""low52"")"),187.31)</f>
        <v>187.31</v>
      </c>
      <c r="M118" s="7">
        <f t="shared" ca="1" si="0"/>
        <v>45379.717931597224</v>
      </c>
    </row>
    <row r="119" spans="1:13">
      <c r="A119" s="4" t="s">
        <v>130</v>
      </c>
      <c r="B119" s="5" t="str">
        <f ca="1">IFERROR(__xludf.DUMMYFUNCTION("GoogleFinance(A119, ""name"")"),"Cisco Systems Inc")</f>
        <v>Cisco Systems Inc</v>
      </c>
      <c r="C119" s="15">
        <f ca="1">IFERROR(__xludf.DUMMYFUNCTION("GoogleFinance(A119, ""price"")"),49.91)</f>
        <v>49.91</v>
      </c>
      <c r="D119" s="6">
        <f ca="1">IFERROR(__xludf.DUMMYFUNCTION("GoogleFinance(A119, ""eps"")"),3.29)</f>
        <v>3.29</v>
      </c>
      <c r="E119" s="6">
        <f ca="1">IFERROR(__xludf.DUMMYFUNCTION("GOOGLEFINANCE(A119,""pe"")"),15.19)</f>
        <v>15.19</v>
      </c>
      <c r="F119" s="6">
        <f ca="1">IFERROR(__xludf.DUMMYFUNCTION("GoogleFinance(A119, ""beta"")"),0.87)</f>
        <v>0.87</v>
      </c>
      <c r="G119" s="13">
        <f ca="1">IFERROR(__xludf.DUMMYFUNCTION("GOOGLEFINANCE(A119,""shares"")"),4049187000)</f>
        <v>4049187000</v>
      </c>
      <c r="H119" s="10">
        <f ca="1">IFERROR(__xludf.DUMMYFUNCTION("GOOGLEFINANCE(A119,""marketcap"")"),202094872642)</f>
        <v>202094872642</v>
      </c>
      <c r="I119" s="13">
        <f ca="1">IFERROR(__xludf.DUMMYFUNCTION("GOOGLEFINANCE(A119,""volume"")"),18139635)</f>
        <v>18139635</v>
      </c>
      <c r="J119" s="13">
        <f ca="1">IFERROR(__xludf.DUMMYFUNCTION("GOOGLEFINANCE(A119,""volumeavg"")"),20753773)</f>
        <v>20753773</v>
      </c>
      <c r="K119" s="15">
        <f ca="1">IFERROR(__xludf.DUMMYFUNCTION("GOOGLEFINANCE(A119,""high52"")"),58.19)</f>
        <v>58.19</v>
      </c>
      <c r="L119" s="15">
        <f ca="1">IFERROR(__xludf.DUMMYFUNCTION("GOOGLEFINANCE(A119,""low52"")"),45.56)</f>
        <v>45.56</v>
      </c>
      <c r="M119" s="7">
        <f t="shared" ca="1" si="0"/>
        <v>45379.717931597224</v>
      </c>
    </row>
    <row r="120" spans="1:13">
      <c r="A120" s="4" t="s">
        <v>131</v>
      </c>
      <c r="B120" s="5" t="str">
        <f ca="1">IFERROR(__xludf.DUMMYFUNCTION("GoogleFinance(A120, ""name"")"),"CoStar Group Inc")</f>
        <v>CoStar Group Inc</v>
      </c>
      <c r="C120" s="15">
        <f ca="1">IFERROR(__xludf.DUMMYFUNCTION("GoogleFinance(A120, ""price"")"),96.6)</f>
        <v>96.6</v>
      </c>
      <c r="D120" s="6">
        <f ca="1">IFERROR(__xludf.DUMMYFUNCTION("GoogleFinance(A120, ""eps"")"),0.92)</f>
        <v>0.92</v>
      </c>
      <c r="E120" s="6">
        <f ca="1">IFERROR(__xludf.DUMMYFUNCTION("GOOGLEFINANCE(A120,""pe"")"),104.9)</f>
        <v>104.9</v>
      </c>
      <c r="F120" s="6">
        <f ca="1">IFERROR(__xludf.DUMMYFUNCTION("GoogleFinance(A120, ""beta"")"),0.83)</f>
        <v>0.83</v>
      </c>
      <c r="G120" s="13">
        <f ca="1">IFERROR(__xludf.DUMMYFUNCTION("GOOGLEFINANCE(A120,""shares"")"),408409000)</f>
        <v>408409000</v>
      </c>
      <c r="H120" s="10">
        <f ca="1">IFERROR(__xludf.DUMMYFUNCTION("GOOGLEFINANCE(A120,""marketcap"")"),39452328096)</f>
        <v>39452328096</v>
      </c>
      <c r="I120" s="13">
        <f ca="1">IFERROR(__xludf.DUMMYFUNCTION("GOOGLEFINANCE(A120,""volume"")"),2213505)</f>
        <v>2213505</v>
      </c>
      <c r="J120" s="13">
        <f ca="1">IFERROR(__xludf.DUMMYFUNCTION("GOOGLEFINANCE(A120,""volumeavg"")"),2643600)</f>
        <v>2643600</v>
      </c>
      <c r="K120" s="15">
        <f ca="1">IFERROR(__xludf.DUMMYFUNCTION("GOOGLEFINANCE(A120,""high52"")"),100.38)</f>
        <v>100.38</v>
      </c>
      <c r="L120" s="15">
        <f ca="1">IFERROR(__xludf.DUMMYFUNCTION("GOOGLEFINANCE(A120,""low52"")"),67.22)</f>
        <v>67.22</v>
      </c>
      <c r="M120" s="7">
        <f t="shared" ca="1" si="0"/>
        <v>45379.717931597224</v>
      </c>
    </row>
    <row r="121" spans="1:13">
      <c r="A121" s="4" t="s">
        <v>132</v>
      </c>
      <c r="B121" s="5" t="str">
        <f ca="1">IFERROR(__xludf.DUMMYFUNCTION("GoogleFinance(A121, ""name"")"),"CSX Corp")</f>
        <v>CSX Corp</v>
      </c>
      <c r="C121" s="15">
        <f ca="1">IFERROR(__xludf.DUMMYFUNCTION("GoogleFinance(A121, ""price"")"),37.07)</f>
        <v>37.07</v>
      </c>
      <c r="D121" s="6">
        <f ca="1">IFERROR(__xludf.DUMMYFUNCTION("GoogleFinance(A121, ""eps"")"),1.85)</f>
        <v>1.85</v>
      </c>
      <c r="E121" s="6">
        <f ca="1">IFERROR(__xludf.DUMMYFUNCTION("GOOGLEFINANCE(A121,""pe"")"),20.09)</f>
        <v>20.09</v>
      </c>
      <c r="F121" s="6">
        <f ca="1">IFERROR(__xludf.DUMMYFUNCTION("GoogleFinance(A121, ""beta"")"),1.19)</f>
        <v>1.19</v>
      </c>
      <c r="G121" s="13">
        <f ca="1">IFERROR(__xludf.DUMMYFUNCTION("GOOGLEFINANCE(A121,""shares"")"),1959134000)</f>
        <v>1959134000</v>
      </c>
      <c r="H121" s="10">
        <f ca="1">IFERROR(__xludf.DUMMYFUNCTION("GOOGLEFINANCE(A121,""marketcap"")"),72567971912)</f>
        <v>72567971912</v>
      </c>
      <c r="I121" s="13">
        <f ca="1">IFERROR(__xludf.DUMMYFUNCTION("GOOGLEFINANCE(A121,""volume"")"),8659560)</f>
        <v>8659560</v>
      </c>
      <c r="J121" s="13">
        <f ca="1">IFERROR(__xludf.DUMMYFUNCTION("GOOGLEFINANCE(A121,""volumeavg"")"),11811317)</f>
        <v>11811317</v>
      </c>
      <c r="K121" s="15">
        <f ca="1">IFERROR(__xludf.DUMMYFUNCTION("GOOGLEFINANCE(A121,""high52"")"),40.12)</f>
        <v>40.119999999999997</v>
      </c>
      <c r="L121" s="15">
        <f ca="1">IFERROR(__xludf.DUMMYFUNCTION("GOOGLEFINANCE(A121,""low52"")"),29.03)</f>
        <v>29.03</v>
      </c>
      <c r="M121" s="7">
        <f t="shared" ca="1" si="0"/>
        <v>45379.717931597224</v>
      </c>
    </row>
    <row r="122" spans="1:13">
      <c r="A122" s="4" t="s">
        <v>133</v>
      </c>
      <c r="B122" s="5" t="str">
        <f ca="1">IFERROR(__xludf.DUMMYFUNCTION("GoogleFinance(A122, ""name"")"),"Cintas Corp")</f>
        <v>Cintas Corp</v>
      </c>
      <c r="C122" s="15">
        <f ca="1">IFERROR(__xludf.DUMMYFUNCTION("GoogleFinance(A122, ""price"")"),687.03)</f>
        <v>687.03</v>
      </c>
      <c r="D122" s="6">
        <f ca="1">IFERROR(__xludf.DUMMYFUNCTION("GoogleFinance(A122, ""eps"")"),13.8)</f>
        <v>13.8</v>
      </c>
      <c r="E122" s="6">
        <f ca="1">IFERROR(__xludf.DUMMYFUNCTION("GOOGLEFINANCE(A122,""pe"")"),49.79)</f>
        <v>49.79</v>
      </c>
      <c r="F122" s="6">
        <f ca="1">IFERROR(__xludf.DUMMYFUNCTION("GoogleFinance(A122, ""beta"")"),1.27)</f>
        <v>1.27</v>
      </c>
      <c r="G122" s="13">
        <f ca="1">IFERROR(__xludf.DUMMYFUNCTION("GOOGLEFINANCE(A122,""shares"")"),101371000)</f>
        <v>101371000</v>
      </c>
      <c r="H122" s="10">
        <f ca="1">IFERROR(__xludf.DUMMYFUNCTION("GOOGLEFINANCE(A122,""marketcap"")"),69645195911)</f>
        <v>69645195911</v>
      </c>
      <c r="I122" s="13">
        <f ca="1">IFERROR(__xludf.DUMMYFUNCTION("GOOGLEFINANCE(A122,""volume"")"),572438)</f>
        <v>572438</v>
      </c>
      <c r="J122" s="13">
        <f ca="1">IFERROR(__xludf.DUMMYFUNCTION("GOOGLEFINANCE(A122,""volumeavg"")"),353431)</f>
        <v>353431</v>
      </c>
      <c r="K122" s="15">
        <f ca="1">IFERROR(__xludf.DUMMYFUNCTION("GOOGLEFINANCE(A122,""high52"")"),704.84)</f>
        <v>704.84</v>
      </c>
      <c r="L122" s="15">
        <f ca="1">IFERROR(__xludf.DUMMYFUNCTION("GOOGLEFINANCE(A122,""low52"")"),438.59)</f>
        <v>438.59</v>
      </c>
      <c r="M122" s="7">
        <f t="shared" ca="1" si="0"/>
        <v>45379.717931597224</v>
      </c>
    </row>
    <row r="123" spans="1:13">
      <c r="A123" s="4" t="s">
        <v>134</v>
      </c>
      <c r="B123" s="5" t="str">
        <f ca="1">IFERROR(__xludf.DUMMYFUNCTION("GoogleFinance(A123, ""name"")"),"Catalent Inc")</f>
        <v>Catalent Inc</v>
      </c>
      <c r="C123" s="15">
        <f ca="1">IFERROR(__xludf.DUMMYFUNCTION("GoogleFinance(A123, ""price"")"),56.45)</f>
        <v>56.45</v>
      </c>
      <c r="D123" s="6">
        <f ca="1">IFERROR(__xludf.DUMMYFUNCTION("GoogleFinance(A123, ""eps"")"),-7.18)</f>
        <v>-7.18</v>
      </c>
      <c r="E123" s="6" t="str">
        <f ca="1">IFERROR(__xludf.DUMMYFUNCTION("GOOGLEFINANCE(A123,""pe"")"),"#N/A")</f>
        <v>#N/A</v>
      </c>
      <c r="F123" s="6">
        <f ca="1">IFERROR(__xludf.DUMMYFUNCTION("GoogleFinance(A123, ""beta"")"),1.2)</f>
        <v>1.2</v>
      </c>
      <c r="G123" s="13">
        <f ca="1">IFERROR(__xludf.DUMMYFUNCTION("GOOGLEFINANCE(A123,""shares"")"),180738000)</f>
        <v>180738000</v>
      </c>
      <c r="H123" s="10">
        <f ca="1">IFERROR(__xludf.DUMMYFUNCTION("GOOGLEFINANCE(A123,""marketcap"")"),10202637657)</f>
        <v>10202637657</v>
      </c>
      <c r="I123" s="13">
        <f ca="1">IFERROR(__xludf.DUMMYFUNCTION("GOOGLEFINANCE(A123,""volume"")"),1841407)</f>
        <v>1841407</v>
      </c>
      <c r="J123" s="13">
        <f ca="1">IFERROR(__xludf.DUMMYFUNCTION("GOOGLEFINANCE(A123,""volumeavg"")"),2306356)</f>
        <v>2306356</v>
      </c>
      <c r="K123" s="15">
        <f ca="1">IFERROR(__xludf.DUMMYFUNCTION("GOOGLEFINANCE(A123,""high52"")"),68.08)</f>
        <v>68.08</v>
      </c>
      <c r="L123" s="15">
        <f ca="1">IFERROR(__xludf.DUMMYFUNCTION("GOOGLEFINANCE(A123,""low52"")"),31.45)</f>
        <v>31.45</v>
      </c>
      <c r="M123" s="7">
        <f t="shared" ca="1" si="0"/>
        <v>45379.717931597224</v>
      </c>
    </row>
    <row r="124" spans="1:13">
      <c r="A124" s="4" t="s">
        <v>135</v>
      </c>
      <c r="B124" s="5" t="str">
        <f ca="1">IFERROR(__xludf.DUMMYFUNCTION("GoogleFinance(A124, ""name"")"),"Coterra Energy Inc")</f>
        <v>Coterra Energy Inc</v>
      </c>
      <c r="C124" s="15">
        <f ca="1">IFERROR(__xludf.DUMMYFUNCTION("GoogleFinance(A124, ""price"")"),27.88)</f>
        <v>27.88</v>
      </c>
      <c r="D124" s="6">
        <f ca="1">IFERROR(__xludf.DUMMYFUNCTION("GoogleFinance(A124, ""eps"")"),0.68)</f>
        <v>0.68</v>
      </c>
      <c r="E124" s="6">
        <f ca="1">IFERROR(__xludf.DUMMYFUNCTION("GOOGLEFINANCE(A124,""pe"")"),32.7)</f>
        <v>32.700000000000003</v>
      </c>
      <c r="F124" s="6">
        <f ca="1">IFERROR(__xludf.DUMMYFUNCTION("GoogleFinance(A124, ""beta"")"),-0.04)</f>
        <v>-0.04</v>
      </c>
      <c r="G124" s="13">
        <f ca="1">IFERROR(__xludf.DUMMYFUNCTION("GOOGLEFINANCE(A124,""shares"")"),812470000)</f>
        <v>812470000</v>
      </c>
      <c r="H124" s="10">
        <f ca="1">IFERROR(__xludf.DUMMYFUNCTION("GOOGLEFINANCE(A124,""marketcap"")"),507808813)</f>
        <v>507808813</v>
      </c>
      <c r="I124" s="13">
        <f ca="1">IFERROR(__xludf.DUMMYFUNCTION("GOOGLEFINANCE(A124,""volume"")"),6897331)</f>
        <v>6897331</v>
      </c>
      <c r="J124" s="13">
        <f ca="1">IFERROR(__xludf.DUMMYFUNCTION("GOOGLEFINANCE(A124,""volumeavg"")"),7700535)</f>
        <v>7700535</v>
      </c>
      <c r="K124" s="15">
        <f ca="1">IFERROR(__xludf.DUMMYFUNCTION("GOOGLEFINANCE(A124,""high52"")"),29.89)</f>
        <v>29.89</v>
      </c>
      <c r="L124" s="15">
        <f ca="1">IFERROR(__xludf.DUMMYFUNCTION("GOOGLEFINANCE(A124,""low52"")"),22.91)</f>
        <v>22.91</v>
      </c>
      <c r="M124" s="7">
        <f t="shared" ca="1" si="0"/>
        <v>45379.717931597224</v>
      </c>
    </row>
    <row r="125" spans="1:13">
      <c r="A125" s="4" t="s">
        <v>136</v>
      </c>
      <c r="B125" s="5" t="str">
        <f ca="1">IFERROR(__xludf.DUMMYFUNCTION("GoogleFinance(A125, ""name"")"),"Cognizant Technology Solutions Corp")</f>
        <v>Cognizant Technology Solutions Corp</v>
      </c>
      <c r="C125" s="15">
        <f ca="1">IFERROR(__xludf.DUMMYFUNCTION("GoogleFinance(A125, ""price"")"),73.29)</f>
        <v>73.290000000000006</v>
      </c>
      <c r="D125" s="6">
        <f ca="1">IFERROR(__xludf.DUMMYFUNCTION("GoogleFinance(A125, ""eps"")"),4.21)</f>
        <v>4.21</v>
      </c>
      <c r="E125" s="6">
        <f ca="1">IFERROR(__xludf.DUMMYFUNCTION("GOOGLEFINANCE(A125,""pe"")"),17.41)</f>
        <v>17.41</v>
      </c>
      <c r="F125" s="6">
        <f ca="1">IFERROR(__xludf.DUMMYFUNCTION("GoogleFinance(A125, ""beta"")"),1.07)</f>
        <v>1.07</v>
      </c>
      <c r="G125" s="13">
        <f ca="1">IFERROR(__xludf.DUMMYFUNCTION("GOOGLEFINANCE(A125,""shares"")"),497842000)</f>
        <v>497842000</v>
      </c>
      <c r="H125" s="10">
        <f ca="1">IFERROR(__xludf.DUMMYFUNCTION("GOOGLEFINANCE(A125,""marketcap"")"),36486840635)</f>
        <v>36486840635</v>
      </c>
      <c r="I125" s="13">
        <f ca="1">IFERROR(__xludf.DUMMYFUNCTION("GOOGLEFINANCE(A125,""volume"")"),11104790)</f>
        <v>11104790</v>
      </c>
      <c r="J125" s="13">
        <f ca="1">IFERROR(__xludf.DUMMYFUNCTION("GOOGLEFINANCE(A125,""volumeavg"")"),4883843)</f>
        <v>4883843</v>
      </c>
      <c r="K125" s="15">
        <f ca="1">IFERROR(__xludf.DUMMYFUNCTION("GOOGLEFINANCE(A125,""high52"")"),80.09)</f>
        <v>80.09</v>
      </c>
      <c r="L125" s="15">
        <f ca="1">IFERROR(__xludf.DUMMYFUNCTION("GOOGLEFINANCE(A125,""low52"")"),58.09)</f>
        <v>58.09</v>
      </c>
      <c r="M125" s="7">
        <f t="shared" ca="1" si="0"/>
        <v>45379.717931597224</v>
      </c>
    </row>
    <row r="126" spans="1:13">
      <c r="A126" s="4" t="s">
        <v>137</v>
      </c>
      <c r="B126" s="5" t="str">
        <f ca="1">IFERROR(__xludf.DUMMYFUNCTION("GoogleFinance(A126, ""name"")"),"Corteva Inc")</f>
        <v>Corteva Inc</v>
      </c>
      <c r="C126" s="15">
        <f ca="1">IFERROR(__xludf.DUMMYFUNCTION("GoogleFinance(A126, ""price"")"),57.67)</f>
        <v>57.67</v>
      </c>
      <c r="D126" s="6">
        <f ca="1">IFERROR(__xludf.DUMMYFUNCTION("GoogleFinance(A126, ""eps"")"),1.3)</f>
        <v>1.3</v>
      </c>
      <c r="E126" s="6">
        <f ca="1">IFERROR(__xludf.DUMMYFUNCTION("GOOGLEFINANCE(A126,""pe"")"),44.19)</f>
        <v>44.19</v>
      </c>
      <c r="F126" s="6">
        <f ca="1">IFERROR(__xludf.DUMMYFUNCTION("GoogleFinance(A126, ""beta"")"),0.78)</f>
        <v>0.78</v>
      </c>
      <c r="G126" s="13">
        <f ca="1">IFERROR(__xludf.DUMMYFUNCTION("GOOGLEFINANCE(A126,""shares"")"),687797000)</f>
        <v>687797000</v>
      </c>
      <c r="H126" s="10">
        <f ca="1">IFERROR(__xludf.DUMMYFUNCTION("GOOGLEFINANCE(A126,""marketcap"")"),39836180000)</f>
        <v>39836180000</v>
      </c>
      <c r="I126" s="13">
        <f ca="1">IFERROR(__xludf.DUMMYFUNCTION("GOOGLEFINANCE(A126,""volume"")"),4563876)</f>
        <v>4563876</v>
      </c>
      <c r="J126" s="13">
        <f ca="1">IFERROR(__xludf.DUMMYFUNCTION("GOOGLEFINANCE(A126,""volumeavg"")"),3388213)</f>
        <v>3388213</v>
      </c>
      <c r="K126" s="15">
        <f ca="1">IFERROR(__xludf.DUMMYFUNCTION("GOOGLEFINANCE(A126,""high52"")"),63.37)</f>
        <v>63.37</v>
      </c>
      <c r="L126" s="15">
        <f ca="1">IFERROR(__xludf.DUMMYFUNCTION("GOOGLEFINANCE(A126,""low52"")"),43.22)</f>
        <v>43.22</v>
      </c>
      <c r="M126" s="7">
        <f t="shared" ca="1" si="0"/>
        <v>45379.717931597224</v>
      </c>
    </row>
    <row r="127" spans="1:13">
      <c r="A127" s="4" t="s">
        <v>138</v>
      </c>
      <c r="B127" s="5" t="str">
        <f ca="1">IFERROR(__xludf.DUMMYFUNCTION("GoogleFinance(A127, ""name"")"),"CVS Health Corp")</f>
        <v>CVS Health Corp</v>
      </c>
      <c r="C127" s="15">
        <f ca="1">IFERROR(__xludf.DUMMYFUNCTION("GoogleFinance(A127, ""price"")"),79.76)</f>
        <v>79.760000000000005</v>
      </c>
      <c r="D127" s="6">
        <f ca="1">IFERROR(__xludf.DUMMYFUNCTION("GoogleFinance(A127, ""eps"")"),6.47)</f>
        <v>6.47</v>
      </c>
      <c r="E127" s="6">
        <f ca="1">IFERROR(__xludf.DUMMYFUNCTION("GOOGLEFINANCE(A127,""pe"")"),12.33)</f>
        <v>12.33</v>
      </c>
      <c r="F127" s="6">
        <f ca="1">IFERROR(__xludf.DUMMYFUNCTION("GoogleFinance(A127, ""beta"")"),0.51)</f>
        <v>0.51</v>
      </c>
      <c r="G127" s="13">
        <f ca="1">IFERROR(__xludf.DUMMYFUNCTION("GOOGLEFINANCE(A127,""shares"")"),1258450000)</f>
        <v>1258450000</v>
      </c>
      <c r="H127" s="10">
        <f ca="1">IFERROR(__xludf.DUMMYFUNCTION("GOOGLEFINANCE(A127,""marketcap"")"),100373894928)</f>
        <v>100373894928</v>
      </c>
      <c r="I127" s="13">
        <f ca="1">IFERROR(__xludf.DUMMYFUNCTION("GOOGLEFINANCE(A127,""volume"")"),8981234)</f>
        <v>8981234</v>
      </c>
      <c r="J127" s="13">
        <f ca="1">IFERROR(__xludf.DUMMYFUNCTION("GOOGLEFINANCE(A127,""volumeavg"")"),8592366)</f>
        <v>8592366</v>
      </c>
      <c r="K127" s="15">
        <f ca="1">IFERROR(__xludf.DUMMYFUNCTION("GOOGLEFINANCE(A127,""high52"")"),83.25)</f>
        <v>83.25</v>
      </c>
      <c r="L127" s="15">
        <f ca="1">IFERROR(__xludf.DUMMYFUNCTION("GOOGLEFINANCE(A127,""low52"")"),64.41)</f>
        <v>64.41</v>
      </c>
      <c r="M127" s="7">
        <f t="shared" ca="1" si="0"/>
        <v>45379.717931597224</v>
      </c>
    </row>
    <row r="128" spans="1:13">
      <c r="A128" s="4" t="s">
        <v>139</v>
      </c>
      <c r="B128" s="5" t="str">
        <f ca="1">IFERROR(__xludf.DUMMYFUNCTION("GoogleFinance(A128, ""name"")"),"Chevron Corp")</f>
        <v>Chevron Corp</v>
      </c>
      <c r="C128" s="15">
        <f ca="1">IFERROR(__xludf.DUMMYFUNCTION("GoogleFinance(A128, ""price"")"),157.74)</f>
        <v>157.74</v>
      </c>
      <c r="D128" s="6">
        <f ca="1">IFERROR(__xludf.DUMMYFUNCTION("GoogleFinance(A128, ""eps"")"),11.37)</f>
        <v>11.37</v>
      </c>
      <c r="E128" s="6">
        <f ca="1">IFERROR(__xludf.DUMMYFUNCTION("GOOGLEFINANCE(A128,""pe"")"),13.88)</f>
        <v>13.88</v>
      </c>
      <c r="F128" s="6">
        <f ca="1">IFERROR(__xludf.DUMMYFUNCTION("GoogleFinance(A128, ""beta"")"),1.12)</f>
        <v>1.1200000000000001</v>
      </c>
      <c r="G128" s="13">
        <f ca="1">IFERROR(__xludf.DUMMYFUNCTION("GOOGLEFINANCE(A128,""shares"")"),1857269000)</f>
        <v>1857269000</v>
      </c>
      <c r="H128" s="10">
        <f ca="1">IFERROR(__xludf.DUMMYFUNCTION("GOOGLEFINANCE(A128,""marketcap"")"),292965464522)</f>
        <v>292965464522</v>
      </c>
      <c r="I128" s="13">
        <f ca="1">IFERROR(__xludf.DUMMYFUNCTION("GOOGLEFINANCE(A128,""volume"")"),8331562)</f>
        <v>8331562</v>
      </c>
      <c r="J128" s="13">
        <f ca="1">IFERROR(__xludf.DUMMYFUNCTION("GOOGLEFINANCE(A128,""volumeavg"")"),8302057)</f>
        <v>8302057</v>
      </c>
      <c r="K128" s="15">
        <f ca="1">IFERROR(__xludf.DUMMYFUNCTION("GOOGLEFINANCE(A128,""high52"")"),172.88)</f>
        <v>172.88</v>
      </c>
      <c r="L128" s="15">
        <f ca="1">IFERROR(__xludf.DUMMYFUNCTION("GOOGLEFINANCE(A128,""low52"")"),139.62)</f>
        <v>139.62</v>
      </c>
      <c r="M128" s="7">
        <f t="shared" ca="1" si="0"/>
        <v>45379.717931597224</v>
      </c>
    </row>
    <row r="129" spans="1:13">
      <c r="A129" s="4" t="s">
        <v>140</v>
      </c>
      <c r="B129" s="5" t="str">
        <f ca="1">IFERROR(__xludf.DUMMYFUNCTION("GoogleFinance(A129, ""name"")"),"Caesars Entertainment Inc")</f>
        <v>Caesars Entertainment Inc</v>
      </c>
      <c r="C129" s="15">
        <f ca="1">IFERROR(__xludf.DUMMYFUNCTION("GoogleFinance(A129, ""price"")"),43.74)</f>
        <v>43.74</v>
      </c>
      <c r="D129" s="6">
        <f ca="1">IFERROR(__xludf.DUMMYFUNCTION("GoogleFinance(A129, ""eps"")"),3.64)</f>
        <v>3.64</v>
      </c>
      <c r="E129" s="6">
        <f ca="1">IFERROR(__xludf.DUMMYFUNCTION("GOOGLEFINANCE(A129,""pe"")"),12.02)</f>
        <v>12.02</v>
      </c>
      <c r="F129" s="6">
        <f ca="1">IFERROR(__xludf.DUMMYFUNCTION("GoogleFinance(A129, ""beta"")"),2.81)</f>
        <v>2.81</v>
      </c>
      <c r="G129" s="13">
        <f ca="1">IFERROR(__xludf.DUMMYFUNCTION("GOOGLEFINANCE(A129,""shares"")"),216300000)</f>
        <v>216300000</v>
      </c>
      <c r="H129" s="10">
        <f ca="1">IFERROR(__xludf.DUMMYFUNCTION("GOOGLEFINANCE(A129,""marketcap"")"),9460949241)</f>
        <v>9460949241</v>
      </c>
      <c r="I129" s="13">
        <f ca="1">IFERROR(__xludf.DUMMYFUNCTION("GOOGLEFINANCE(A129,""volume"")"),2470401)</f>
        <v>2470401</v>
      </c>
      <c r="J129" s="13">
        <f ca="1">IFERROR(__xludf.DUMMYFUNCTION("GOOGLEFINANCE(A129,""volumeavg"")"),3257678)</f>
        <v>3257678</v>
      </c>
      <c r="K129" s="15">
        <f ca="1">IFERROR(__xludf.DUMMYFUNCTION("GOOGLEFINANCE(A129,""high52"")"),60.27)</f>
        <v>60.27</v>
      </c>
      <c r="L129" s="15">
        <f ca="1">IFERROR(__xludf.DUMMYFUNCTION("GOOGLEFINANCE(A129,""low52"")"),38.33)</f>
        <v>38.33</v>
      </c>
      <c r="M129" s="7">
        <f t="shared" ca="1" si="0"/>
        <v>45379.717931597224</v>
      </c>
    </row>
    <row r="130" spans="1:13">
      <c r="A130" s="4" t="s">
        <v>141</v>
      </c>
      <c r="B130" s="5" t="str">
        <f ca="1">IFERROR(__xludf.DUMMYFUNCTION("GoogleFinance(A130, ""name"")"),"Dominion Energy Inc")</f>
        <v>Dominion Energy Inc</v>
      </c>
      <c r="C130" s="15">
        <f ca="1">IFERROR(__xludf.DUMMYFUNCTION("GoogleFinance(A130, ""price"")"),49.19)</f>
        <v>49.19</v>
      </c>
      <c r="D130" s="6">
        <f ca="1">IFERROR(__xludf.DUMMYFUNCTION("GoogleFinance(A130, ""eps"")"),2.48)</f>
        <v>2.48</v>
      </c>
      <c r="E130" s="6">
        <f ca="1">IFERROR(__xludf.DUMMYFUNCTION("GOOGLEFINANCE(A130,""pe"")"),19.82)</f>
        <v>19.82</v>
      </c>
      <c r="F130" s="6">
        <f ca="1">IFERROR(__xludf.DUMMYFUNCTION("GoogleFinance(A130, ""beta"")"),0.61)</f>
        <v>0.61</v>
      </c>
      <c r="G130" s="13">
        <f ca="1">IFERROR(__xludf.DUMMYFUNCTION("GOOGLEFINANCE(A130,""shares"")"),837443000)</f>
        <v>837443000</v>
      </c>
      <c r="H130" s="10">
        <f ca="1">IFERROR(__xludf.DUMMYFUNCTION("GOOGLEFINANCE(A130,""marketcap"")"),41201213276)</f>
        <v>41201213276</v>
      </c>
      <c r="I130" s="13">
        <f ca="1">IFERROR(__xludf.DUMMYFUNCTION("GOOGLEFINANCE(A130,""volume"")"),5401391)</f>
        <v>5401391</v>
      </c>
      <c r="J130" s="13">
        <f ca="1">IFERROR(__xludf.DUMMYFUNCTION("GOOGLEFINANCE(A130,""volumeavg"")"),6845549)</f>
        <v>6845549</v>
      </c>
      <c r="K130" s="15">
        <f ca="1">IFERROR(__xludf.DUMMYFUNCTION("GOOGLEFINANCE(A130,""high52"")"),58.69)</f>
        <v>58.69</v>
      </c>
      <c r="L130" s="15">
        <f ca="1">IFERROR(__xludf.DUMMYFUNCTION("GOOGLEFINANCE(A130,""low52"")"),39.18)</f>
        <v>39.18</v>
      </c>
      <c r="M130" s="7">
        <f t="shared" ca="1" si="0"/>
        <v>45379.717931597224</v>
      </c>
    </row>
    <row r="131" spans="1:13">
      <c r="A131" s="4" t="s">
        <v>142</v>
      </c>
      <c r="B131" s="5" t="str">
        <f ca="1">IFERROR(__xludf.DUMMYFUNCTION("GoogleFinance(A131, ""name"")"),"Delta Air Lines, Inc.")</f>
        <v>Delta Air Lines, Inc.</v>
      </c>
      <c r="C131" s="15">
        <f ca="1">IFERROR(__xludf.DUMMYFUNCTION("GoogleFinance(A131, ""price"")"),47.87)</f>
        <v>47.87</v>
      </c>
      <c r="D131" s="6">
        <f ca="1">IFERROR(__xludf.DUMMYFUNCTION("GoogleFinance(A131, ""eps"")"),7.17)</f>
        <v>7.17</v>
      </c>
      <c r="E131" s="6">
        <f ca="1">IFERROR(__xludf.DUMMYFUNCTION("GOOGLEFINANCE(A131,""pe"")"),6.68)</f>
        <v>6.68</v>
      </c>
      <c r="F131" s="6">
        <f ca="1">IFERROR(__xludf.DUMMYFUNCTION("GoogleFinance(A131, ""beta"")"),1.42)</f>
        <v>1.42</v>
      </c>
      <c r="G131" s="13">
        <f ca="1">IFERROR(__xludf.DUMMYFUNCTION("GOOGLEFINANCE(A131,""shares"")"),643324000)</f>
        <v>643324000</v>
      </c>
      <c r="H131" s="10">
        <f ca="1">IFERROR(__xludf.DUMMYFUNCTION("GOOGLEFINANCE(A131,""marketcap"")"),30795909618)</f>
        <v>30795909618</v>
      </c>
      <c r="I131" s="13">
        <f ca="1">IFERROR(__xludf.DUMMYFUNCTION("GOOGLEFINANCE(A131,""volume"")"),13598723)</f>
        <v>13598723</v>
      </c>
      <c r="J131" s="13">
        <f ca="1">IFERROR(__xludf.DUMMYFUNCTION("GOOGLEFINANCE(A131,""volumeavg"")"),8210701)</f>
        <v>8210701</v>
      </c>
      <c r="K131" s="15">
        <f ca="1">IFERROR(__xludf.DUMMYFUNCTION("GOOGLEFINANCE(A131,""high52"")"),49.81)</f>
        <v>49.81</v>
      </c>
      <c r="L131" s="15">
        <f ca="1">IFERROR(__xludf.DUMMYFUNCTION("GOOGLEFINANCE(A131,""low52"")"),30.6)</f>
        <v>30.6</v>
      </c>
      <c r="M131" s="7">
        <f t="shared" ca="1" si="0"/>
        <v>45379.717931597224</v>
      </c>
    </row>
    <row r="132" spans="1:13">
      <c r="A132" s="4" t="s">
        <v>143</v>
      </c>
      <c r="B132" s="5" t="str">
        <f ca="1">IFERROR(__xludf.DUMMYFUNCTION("GoogleFinance(A132, ""name"")"),"DuPont de Nemours Inc")</f>
        <v>DuPont de Nemours Inc</v>
      </c>
      <c r="C132" s="15">
        <f ca="1">IFERROR(__xludf.DUMMYFUNCTION("GoogleFinance(A132, ""price"")"),76.67)</f>
        <v>76.67</v>
      </c>
      <c r="D132" s="6">
        <f ca="1">IFERROR(__xludf.DUMMYFUNCTION("GoogleFinance(A132, ""eps"")"),1.09)</f>
        <v>1.0900000000000001</v>
      </c>
      <c r="E132" s="6">
        <f ca="1">IFERROR(__xludf.DUMMYFUNCTION("GOOGLEFINANCE(A132,""pe"")"),70.03)</f>
        <v>70.03</v>
      </c>
      <c r="F132" s="6">
        <f ca="1">IFERROR(__xludf.DUMMYFUNCTION("GoogleFinance(A132, ""beta"")"),1.31)</f>
        <v>1.31</v>
      </c>
      <c r="G132" s="13">
        <f ca="1">IFERROR(__xludf.DUMMYFUNCTION("GOOGLEFINANCE(A132,""shares"")"),417583000)</f>
        <v>417583000</v>
      </c>
      <c r="H132" s="10">
        <f ca="1">IFERROR(__xludf.DUMMYFUNCTION("GOOGLEFINANCE(A132,""marketcap"")"),32016072511)</f>
        <v>32016072511</v>
      </c>
      <c r="I132" s="13">
        <f ca="1">IFERROR(__xludf.DUMMYFUNCTION("GOOGLEFINANCE(A132,""volume"")"),1964296)</f>
        <v>1964296</v>
      </c>
      <c r="J132" s="13">
        <f ca="1">IFERROR(__xludf.DUMMYFUNCTION("GOOGLEFINANCE(A132,""volumeavg"")"),2560927)</f>
        <v>2560927</v>
      </c>
      <c r="K132" s="15">
        <f ca="1">IFERROR(__xludf.DUMMYFUNCTION("GOOGLEFINANCE(A132,""high52"")"),78.74)</f>
        <v>78.739999999999995</v>
      </c>
      <c r="L132" s="15">
        <f ca="1">IFERROR(__xludf.DUMMYFUNCTION("GOOGLEFINANCE(A132,""low52"")"),61.14)</f>
        <v>61.14</v>
      </c>
      <c r="M132" s="7">
        <f t="shared" ca="1" si="0"/>
        <v>45379.717931597224</v>
      </c>
    </row>
    <row r="133" spans="1:13">
      <c r="A133" s="4" t="s">
        <v>144</v>
      </c>
      <c r="B133" s="5" t="str">
        <f ca="1">IFERROR(__xludf.DUMMYFUNCTION("GoogleFinance(A133, ""name"")"),"Deere &amp; Co")</f>
        <v>Deere &amp; Co</v>
      </c>
      <c r="C133" s="15">
        <f ca="1">IFERROR(__xludf.DUMMYFUNCTION("GoogleFinance(A133, ""price"")"),410.74)</f>
        <v>410.74</v>
      </c>
      <c r="D133" s="6">
        <f ca="1">IFERROR(__xludf.DUMMYFUNCTION("GoogleFinance(A133, ""eps"")"),34.33)</f>
        <v>34.33</v>
      </c>
      <c r="E133" s="6">
        <f ca="1">IFERROR(__xludf.DUMMYFUNCTION("GOOGLEFINANCE(A133,""pe"")"),11.96)</f>
        <v>11.96</v>
      </c>
      <c r="F133" s="6">
        <f ca="1">IFERROR(__xludf.DUMMYFUNCTION("GoogleFinance(A133, ""beta"")"),1.03)</f>
        <v>1.03</v>
      </c>
      <c r="G133" s="13">
        <f ca="1">IFERROR(__xludf.DUMMYFUNCTION("GOOGLEFINANCE(A133,""shares"")"),278358000)</f>
        <v>278358000</v>
      </c>
      <c r="H133" s="10">
        <f ca="1">IFERROR(__xludf.DUMMYFUNCTION("GOOGLEFINANCE(A133,""marketcap"")"),114332844349)</f>
        <v>114332844349</v>
      </c>
      <c r="I133" s="13">
        <f ca="1">IFERROR(__xludf.DUMMYFUNCTION("GOOGLEFINANCE(A133,""volume"")"),1426774)</f>
        <v>1426774</v>
      </c>
      <c r="J133" s="13">
        <f ca="1">IFERROR(__xludf.DUMMYFUNCTION("GOOGLEFINANCE(A133,""volumeavg"")"),1744248)</f>
        <v>1744248</v>
      </c>
      <c r="K133" s="15">
        <f ca="1">IFERROR(__xludf.DUMMYFUNCTION("GOOGLEFINANCE(A133,""high52"")"),450)</f>
        <v>450</v>
      </c>
      <c r="L133" s="15">
        <f ca="1">IFERROR(__xludf.DUMMYFUNCTION("GOOGLEFINANCE(A133,""low52"")"),345.55)</f>
        <v>345.55</v>
      </c>
      <c r="M133" s="7">
        <f t="shared" ca="1" si="0"/>
        <v>45379.717931597224</v>
      </c>
    </row>
    <row r="134" spans="1:13">
      <c r="A134" s="4" t="s">
        <v>145</v>
      </c>
      <c r="B134" s="5" t="str">
        <f ca="1">IFERROR(__xludf.DUMMYFUNCTION("GoogleFinance(A134, ""name"")"),"Discover Financial Services")</f>
        <v>Discover Financial Services</v>
      </c>
      <c r="C134" s="15">
        <f ca="1">IFERROR(__xludf.DUMMYFUNCTION("GoogleFinance(A134, ""price"")"),131.09)</f>
        <v>131.09</v>
      </c>
      <c r="D134" s="6">
        <f ca="1">IFERROR(__xludf.DUMMYFUNCTION("GoogleFinance(A134, ""eps"")"),11.26)</f>
        <v>11.26</v>
      </c>
      <c r="E134" s="6">
        <f ca="1">IFERROR(__xludf.DUMMYFUNCTION("GOOGLEFINANCE(A134,""pe"")"),11.65)</f>
        <v>11.65</v>
      </c>
      <c r="F134" s="6">
        <f ca="1">IFERROR(__xludf.DUMMYFUNCTION("GoogleFinance(A134, ""beta"")"),1.45)</f>
        <v>1.45</v>
      </c>
      <c r="G134" s="13">
        <f ca="1">IFERROR(__xludf.DUMMYFUNCTION("GOOGLEFINANCE(A134,""shares"")"),250555000)</f>
        <v>250555000</v>
      </c>
      <c r="H134" s="10">
        <f ca="1">IFERROR(__xludf.DUMMYFUNCTION("GOOGLEFINANCE(A134,""marketcap"")"),32846538714)</f>
        <v>32846538714</v>
      </c>
      <c r="I134" s="13">
        <f ca="1">IFERROR(__xludf.DUMMYFUNCTION("GOOGLEFINANCE(A134,""volume"")"),1914725)</f>
        <v>1914725</v>
      </c>
      <c r="J134" s="13">
        <f ca="1">IFERROR(__xludf.DUMMYFUNCTION("GOOGLEFINANCE(A134,""volumeavg"")"),2732378)</f>
        <v>2732378</v>
      </c>
      <c r="K134" s="15">
        <f ca="1">IFERROR(__xludf.DUMMYFUNCTION("GOOGLEFINANCE(A134,""high52"")"),131.65)</f>
        <v>131.65</v>
      </c>
      <c r="L134" s="15">
        <f ca="1">IFERROR(__xludf.DUMMYFUNCTION("GOOGLEFINANCE(A134,""low52"")"),79.04)</f>
        <v>79.040000000000006</v>
      </c>
      <c r="M134" s="7">
        <f t="shared" ca="1" si="0"/>
        <v>45379.717931597224</v>
      </c>
    </row>
    <row r="135" spans="1:13">
      <c r="A135" s="4" t="s">
        <v>146</v>
      </c>
      <c r="B135" s="5" t="str">
        <f ca="1">IFERROR(__xludf.DUMMYFUNCTION("GoogleFinance(A135, ""name"")"),"Dollar General Corp")</f>
        <v>Dollar General Corp</v>
      </c>
      <c r="C135" s="15">
        <f ca="1">IFERROR(__xludf.DUMMYFUNCTION("GoogleFinance(A135, ""price"")"),156.06)</f>
        <v>156.06</v>
      </c>
      <c r="D135" s="6">
        <f ca="1">IFERROR(__xludf.DUMMYFUNCTION("GoogleFinance(A135, ""eps"")"),7.55)</f>
        <v>7.55</v>
      </c>
      <c r="E135" s="6">
        <f ca="1">IFERROR(__xludf.DUMMYFUNCTION("GOOGLEFINANCE(A135,""pe"")"),20.66)</f>
        <v>20.66</v>
      </c>
      <c r="F135" s="6">
        <f ca="1">IFERROR(__xludf.DUMMYFUNCTION("GoogleFinance(A135, ""beta"")"),0.41)</f>
        <v>0.41</v>
      </c>
      <c r="G135" s="13">
        <f ca="1">IFERROR(__xludf.DUMMYFUNCTION("GOOGLEFINANCE(A135,""shares"")"),219671000)</f>
        <v>219671000</v>
      </c>
      <c r="H135" s="10">
        <f ca="1">IFERROR(__xludf.DUMMYFUNCTION("GOOGLEFINANCE(A135,""marketcap"")"),34281886935)</f>
        <v>34281886935</v>
      </c>
      <c r="I135" s="13">
        <f ca="1">IFERROR(__xludf.DUMMYFUNCTION("GOOGLEFINANCE(A135,""volume"")"),1807440)</f>
        <v>1807440</v>
      </c>
      <c r="J135" s="13">
        <f ca="1">IFERROR(__xludf.DUMMYFUNCTION("GOOGLEFINANCE(A135,""volumeavg"")"),2622019)</f>
        <v>2622019</v>
      </c>
      <c r="K135" s="15">
        <f ca="1">IFERROR(__xludf.DUMMYFUNCTION("GOOGLEFINANCE(A135,""high52"")"),222.99)</f>
        <v>222.99</v>
      </c>
      <c r="L135" s="15">
        <f ca="1">IFERROR(__xludf.DUMMYFUNCTION("GOOGLEFINANCE(A135,""low52"")"),101.09)</f>
        <v>101.09</v>
      </c>
      <c r="M135" s="7">
        <f t="shared" ca="1" si="0"/>
        <v>45379.717931597224</v>
      </c>
    </row>
    <row r="136" spans="1:13">
      <c r="A136" s="4" t="s">
        <v>147</v>
      </c>
      <c r="B136" s="5" t="str">
        <f ca="1">IFERROR(__xludf.DUMMYFUNCTION("GoogleFinance(A136, ""name"")"),"Quest Diagnostics Inc")</f>
        <v>Quest Diagnostics Inc</v>
      </c>
      <c r="C136" s="15">
        <f ca="1">IFERROR(__xludf.DUMMYFUNCTION("GoogleFinance(A136, ""price"")"),133.11)</f>
        <v>133.11000000000001</v>
      </c>
      <c r="D136" s="6">
        <f ca="1">IFERROR(__xludf.DUMMYFUNCTION("GoogleFinance(A136, ""eps"")"),7.52)</f>
        <v>7.52</v>
      </c>
      <c r="E136" s="6">
        <f ca="1">IFERROR(__xludf.DUMMYFUNCTION("GOOGLEFINANCE(A136,""pe"")"),17.7)</f>
        <v>17.7</v>
      </c>
      <c r="F136" s="6">
        <f ca="1">IFERROR(__xludf.DUMMYFUNCTION("GoogleFinance(A136, ""beta"")"),0.91)</f>
        <v>0.91</v>
      </c>
      <c r="G136" s="13">
        <f ca="1">IFERROR(__xludf.DUMMYFUNCTION("GOOGLEFINANCE(A136,""shares"")"),110707000)</f>
        <v>110707000</v>
      </c>
      <c r="H136" s="10">
        <f ca="1">IFERROR(__xludf.DUMMYFUNCTION("GOOGLEFINANCE(A136,""marketcap"")"),14736248770)</f>
        <v>14736248770</v>
      </c>
      <c r="I136" s="13">
        <f ca="1">IFERROR(__xludf.DUMMYFUNCTION("GOOGLEFINANCE(A136,""volume"")"),888001)</f>
        <v>888001</v>
      </c>
      <c r="J136" s="13">
        <f ca="1">IFERROR(__xludf.DUMMYFUNCTION("GOOGLEFINANCE(A136,""volumeavg"")"),945223)</f>
        <v>945223</v>
      </c>
      <c r="K136" s="15">
        <f ca="1">IFERROR(__xludf.DUMMYFUNCTION("GOOGLEFINANCE(A136,""high52"")"),148.62)</f>
        <v>148.62</v>
      </c>
      <c r="L136" s="15">
        <f ca="1">IFERROR(__xludf.DUMMYFUNCTION("GOOGLEFINANCE(A136,""low52"")"),119.59)</f>
        <v>119.59</v>
      </c>
      <c r="M136" s="7">
        <f t="shared" ca="1" si="0"/>
        <v>45379.717931597224</v>
      </c>
    </row>
    <row r="137" spans="1:13">
      <c r="A137" s="4" t="s">
        <v>148</v>
      </c>
      <c r="B137" s="5" t="str">
        <f ca="1">IFERROR(__xludf.DUMMYFUNCTION("GoogleFinance(A137, ""name"")"),"DR Horton Inc")</f>
        <v>DR Horton Inc</v>
      </c>
      <c r="C137" s="15">
        <f ca="1">IFERROR(__xludf.DUMMYFUNCTION("GoogleFinance(A137, ""price"")"),164.55)</f>
        <v>164.55</v>
      </c>
      <c r="D137" s="6">
        <f ca="1">IFERROR(__xludf.DUMMYFUNCTION("GoogleFinance(A137, ""eps"")"),13.91)</f>
        <v>13.91</v>
      </c>
      <c r="E137" s="6">
        <f ca="1">IFERROR(__xludf.DUMMYFUNCTION("GOOGLEFINANCE(A137,""pe"")"),11.83)</f>
        <v>11.83</v>
      </c>
      <c r="F137" s="6">
        <f ca="1">IFERROR(__xludf.DUMMYFUNCTION("GoogleFinance(A137, ""beta"")"),1.64)</f>
        <v>1.64</v>
      </c>
      <c r="G137" s="13">
        <f ca="1">IFERROR(__xludf.DUMMYFUNCTION("GOOGLEFINANCE(A137,""shares"")"),331817000)</f>
        <v>331817000</v>
      </c>
      <c r="H137" s="10">
        <f ca="1">IFERROR(__xludf.DUMMYFUNCTION("GOOGLEFINANCE(A137,""marketcap"")"),54600521272)</f>
        <v>54600521272</v>
      </c>
      <c r="I137" s="13">
        <f ca="1">IFERROR(__xludf.DUMMYFUNCTION("GOOGLEFINANCE(A137,""volume"")"),1739802)</f>
        <v>1739802</v>
      </c>
      <c r="J137" s="13">
        <f ca="1">IFERROR(__xludf.DUMMYFUNCTION("GOOGLEFINANCE(A137,""volumeavg"")"),2323548)</f>
        <v>2323548</v>
      </c>
      <c r="K137" s="15">
        <f ca="1">IFERROR(__xludf.DUMMYFUNCTION("GOOGLEFINANCE(A137,""high52"")"),165.21)</f>
        <v>165.21</v>
      </c>
      <c r="L137" s="15">
        <f ca="1">IFERROR(__xludf.DUMMYFUNCTION("GOOGLEFINANCE(A137,""low52"")"),94.22)</f>
        <v>94.22</v>
      </c>
      <c r="M137" s="7">
        <f t="shared" ca="1" si="0"/>
        <v>45379.717931597224</v>
      </c>
    </row>
    <row r="138" spans="1:13">
      <c r="A138" s="4" t="s">
        <v>149</v>
      </c>
      <c r="B138" s="5" t="str">
        <f ca="1">IFERROR(__xludf.DUMMYFUNCTION("GoogleFinance(A138, ""name"")"),"Danaher Corp")</f>
        <v>Danaher Corp</v>
      </c>
      <c r="C138" s="15">
        <f ca="1">IFERROR(__xludf.DUMMYFUNCTION("GoogleFinance(A138, ""price"")"),249.72)</f>
        <v>249.72</v>
      </c>
      <c r="D138" s="6">
        <f ca="1">IFERROR(__xludf.DUMMYFUNCTION("GoogleFinance(A138, ""eps"")"),5.65)</f>
        <v>5.65</v>
      </c>
      <c r="E138" s="6">
        <f ca="1">IFERROR(__xludf.DUMMYFUNCTION("GOOGLEFINANCE(A138,""pe"")"),44.18)</f>
        <v>44.18</v>
      </c>
      <c r="F138" s="6">
        <f ca="1">IFERROR(__xludf.DUMMYFUNCTION("GoogleFinance(A138, ""beta"")"),0.84)</f>
        <v>0.84</v>
      </c>
      <c r="G138" s="13">
        <f ca="1">IFERROR(__xludf.DUMMYFUNCTION("GOOGLEFINANCE(A138,""shares"")"),739702000)</f>
        <v>739702000</v>
      </c>
      <c r="H138" s="10">
        <f ca="1">IFERROR(__xludf.DUMMYFUNCTION("GOOGLEFINANCE(A138,""marketcap"")"),184718309426)</f>
        <v>184718309426</v>
      </c>
      <c r="I138" s="13">
        <f ca="1">IFERROR(__xludf.DUMMYFUNCTION("GOOGLEFINANCE(A138,""volume"")"),2560205)</f>
        <v>2560205</v>
      </c>
      <c r="J138" s="13">
        <f ca="1">IFERROR(__xludf.DUMMYFUNCTION("GOOGLEFINANCE(A138,""volumeavg"")"),2510292)</f>
        <v>2510292</v>
      </c>
      <c r="K138" s="15">
        <f ca="1">IFERROR(__xludf.DUMMYFUNCTION("GOOGLEFINANCE(A138,""high52"")"),259)</f>
        <v>259</v>
      </c>
      <c r="L138" s="15">
        <f ca="1">IFERROR(__xludf.DUMMYFUNCTION("GOOGLEFINANCE(A138,""low52"")"),182.09)</f>
        <v>182.09</v>
      </c>
      <c r="M138" s="7">
        <f t="shared" ca="1" si="0"/>
        <v>45379.717931597224</v>
      </c>
    </row>
    <row r="139" spans="1:13">
      <c r="A139" s="4" t="s">
        <v>150</v>
      </c>
      <c r="B139" s="5" t="str">
        <f ca="1">IFERROR(__xludf.DUMMYFUNCTION("GoogleFinance(A139, ""name"")"),"Walt Disney Co")</f>
        <v>Walt Disney Co</v>
      </c>
      <c r="C139" s="15">
        <f ca="1">IFERROR(__xludf.DUMMYFUNCTION("GoogleFinance(A139, ""price"")"),122.36)</f>
        <v>122.36</v>
      </c>
      <c r="D139" s="6">
        <f ca="1">IFERROR(__xludf.DUMMYFUNCTION("GoogleFinance(A139, ""eps"")"),1.63)</f>
        <v>1.63</v>
      </c>
      <c r="E139" s="6">
        <f ca="1">IFERROR(__xludf.DUMMYFUNCTION("GOOGLEFINANCE(A139,""pe"")"),75.15)</f>
        <v>75.150000000000006</v>
      </c>
      <c r="F139" s="6">
        <f ca="1">IFERROR(__xludf.DUMMYFUNCTION("GoogleFinance(A139, ""beta"")"),1.41)</f>
        <v>1.41</v>
      </c>
      <c r="G139" s="13">
        <f ca="1">IFERROR(__xludf.DUMMYFUNCTION("GOOGLEFINANCE(A139,""shares"")"),1834302000)</f>
        <v>1834302000</v>
      </c>
      <c r="H139" s="10">
        <f ca="1">IFERROR(__xludf.DUMMYFUNCTION("GOOGLEFINANCE(A139,""marketcap"")"),224445560919)</f>
        <v>224445560919</v>
      </c>
      <c r="I139" s="13">
        <f ca="1">IFERROR(__xludf.DUMMYFUNCTION("GOOGLEFINANCE(A139,""volume"")"),15365446)</f>
        <v>15365446</v>
      </c>
      <c r="J139" s="13">
        <f ca="1">IFERROR(__xludf.DUMMYFUNCTION("GOOGLEFINANCE(A139,""volumeavg"")"),10466182)</f>
        <v>10466182</v>
      </c>
      <c r="K139" s="15">
        <f ca="1">IFERROR(__xludf.DUMMYFUNCTION("GOOGLEFINANCE(A139,""high52"")"),123.74)</f>
        <v>123.74</v>
      </c>
      <c r="L139" s="15">
        <f ca="1">IFERROR(__xludf.DUMMYFUNCTION("GOOGLEFINANCE(A139,""low52"")"),78.73)</f>
        <v>78.73</v>
      </c>
      <c r="M139" s="7">
        <f t="shared" ca="1" si="0"/>
        <v>45379.717931597224</v>
      </c>
    </row>
    <row r="140" spans="1:13">
      <c r="A140" s="4" t="s">
        <v>151</v>
      </c>
      <c r="B140" s="5" t="str">
        <f ca="1">IFERROR(__xludf.DUMMYFUNCTION("GoogleFinance(A140, ""name"")"),"Digital Realty Trust Inc")</f>
        <v>Digital Realty Trust Inc</v>
      </c>
      <c r="C140" s="15">
        <f ca="1">IFERROR(__xludf.DUMMYFUNCTION("GoogleFinance(A140, ""price"")"),144.04)</f>
        <v>144.04</v>
      </c>
      <c r="D140" s="6">
        <f ca="1">IFERROR(__xludf.DUMMYFUNCTION("GoogleFinance(A140, ""eps"")"),3)</f>
        <v>3</v>
      </c>
      <c r="E140" s="6">
        <f ca="1">IFERROR(__xludf.DUMMYFUNCTION("GOOGLEFINANCE(A140,""pe"")"),48.06)</f>
        <v>48.06</v>
      </c>
      <c r="F140" s="6">
        <f ca="1">IFERROR(__xludf.DUMMYFUNCTION("GoogleFinance(A140, ""beta"")"),0.53)</f>
        <v>0.53</v>
      </c>
      <c r="G140" s="13">
        <f ca="1">IFERROR(__xludf.DUMMYFUNCTION("GOOGLEFINANCE(A140,""shares"")"),312294000)</f>
        <v>312294000</v>
      </c>
      <c r="H140" s="10">
        <f ca="1">IFERROR(__xludf.DUMMYFUNCTION("GOOGLEFINANCE(A140,""marketcap"")"),44982753643)</f>
        <v>44982753643</v>
      </c>
      <c r="I140" s="13">
        <f ca="1">IFERROR(__xludf.DUMMYFUNCTION("GOOGLEFINANCE(A140,""volume"")"),2034732)</f>
        <v>2034732</v>
      </c>
      <c r="J140" s="13">
        <f ca="1">IFERROR(__xludf.DUMMYFUNCTION("GOOGLEFINANCE(A140,""volumeavg"")"),2407487)</f>
        <v>2407487</v>
      </c>
      <c r="K140" s="15">
        <f ca="1">IFERROR(__xludf.DUMMYFUNCTION("GOOGLEFINANCE(A140,""high52"")"),154.18)</f>
        <v>154.18</v>
      </c>
      <c r="L140" s="15">
        <f ca="1">IFERROR(__xludf.DUMMYFUNCTION("GOOGLEFINANCE(A140,""low52"")"),86.33)</f>
        <v>86.33</v>
      </c>
      <c r="M140" s="7">
        <f t="shared" ca="1" si="0"/>
        <v>45379.717931597224</v>
      </c>
    </row>
    <row r="141" spans="1:13">
      <c r="A141" s="4" t="s">
        <v>152</v>
      </c>
      <c r="B141" s="5" t="str">
        <f ca="1">IFERROR(__xludf.DUMMYFUNCTION("GoogleFinance(A141, ""name"")"),"Dollar Tree Inc")</f>
        <v>Dollar Tree Inc</v>
      </c>
      <c r="C141" s="15">
        <f ca="1">IFERROR(__xludf.DUMMYFUNCTION("GoogleFinance(A141, ""price"")"),133.15)</f>
        <v>133.15</v>
      </c>
      <c r="D141" s="6">
        <f ca="1">IFERROR(__xludf.DUMMYFUNCTION("GoogleFinance(A141, ""eps"")"),-4.55)</f>
        <v>-4.55</v>
      </c>
      <c r="E141" s="6" t="str">
        <f ca="1">IFERROR(__xludf.DUMMYFUNCTION("GOOGLEFINANCE(A141,""pe"")"),"#N/A")</f>
        <v>#N/A</v>
      </c>
      <c r="F141" s="6">
        <f ca="1">IFERROR(__xludf.DUMMYFUNCTION("GoogleFinance(A141, ""beta"")"),0.92)</f>
        <v>0.92</v>
      </c>
      <c r="G141" s="13">
        <f ca="1">IFERROR(__xludf.DUMMYFUNCTION("GOOGLEFINANCE(A141,""shares"")"),217983000)</f>
        <v>217983000</v>
      </c>
      <c r="H141" s="10">
        <f ca="1">IFERROR(__xludf.DUMMYFUNCTION("GOOGLEFINANCE(A141,""marketcap"")"),29009642155)</f>
        <v>29009642155</v>
      </c>
      <c r="I141" s="13">
        <f ca="1">IFERROR(__xludf.DUMMYFUNCTION("GOOGLEFINANCE(A141,""volume"")"),5909762)</f>
        <v>5909762</v>
      </c>
      <c r="J141" s="13">
        <f ca="1">IFERROR(__xludf.DUMMYFUNCTION("GOOGLEFINANCE(A141,""volumeavg"")"),3475206)</f>
        <v>3475206</v>
      </c>
      <c r="K141" s="15">
        <f ca="1">IFERROR(__xludf.DUMMYFUNCTION("GOOGLEFINANCE(A141,""high52"")"),161.1)</f>
        <v>161.1</v>
      </c>
      <c r="L141" s="15">
        <f ca="1">IFERROR(__xludf.DUMMYFUNCTION("GOOGLEFINANCE(A141,""low52"")"),102.77)</f>
        <v>102.77</v>
      </c>
      <c r="M141" s="7">
        <f t="shared" ca="1" si="0"/>
        <v>45379.717931597224</v>
      </c>
    </row>
    <row r="142" spans="1:13">
      <c r="A142" s="4" t="s">
        <v>153</v>
      </c>
      <c r="B142" s="5" t="str">
        <f ca="1">IFERROR(__xludf.DUMMYFUNCTION("GoogleFinance(A142, ""name"")"),"Dover Corp")</f>
        <v>Dover Corp</v>
      </c>
      <c r="C142" s="15">
        <f ca="1">IFERROR(__xludf.DUMMYFUNCTION("GoogleFinance(A142, ""price"")"),177.19)</f>
        <v>177.19</v>
      </c>
      <c r="D142" s="6">
        <f ca="1">IFERROR(__xludf.DUMMYFUNCTION("GoogleFinance(A142, ""eps"")"),7.52)</f>
        <v>7.52</v>
      </c>
      <c r="E142" s="6">
        <f ca="1">IFERROR(__xludf.DUMMYFUNCTION("GOOGLEFINANCE(A142,""pe"")"),23.57)</f>
        <v>23.57</v>
      </c>
      <c r="F142" s="6">
        <f ca="1">IFERROR(__xludf.DUMMYFUNCTION("GoogleFinance(A142, ""beta"")"),1.27)</f>
        <v>1.27</v>
      </c>
      <c r="G142" s="13">
        <f ca="1">IFERROR(__xludf.DUMMYFUNCTION("GOOGLEFINANCE(A142,""shares"")"),137376000)</f>
        <v>137376000</v>
      </c>
      <c r="H142" s="10">
        <f ca="1">IFERROR(__xludf.DUMMYFUNCTION("GOOGLEFINANCE(A142,""marketcap"")"),24341724651)</f>
        <v>24341724651</v>
      </c>
      <c r="I142" s="13">
        <f ca="1">IFERROR(__xludf.DUMMYFUNCTION("GOOGLEFINANCE(A142,""volume"")"),879498)</f>
        <v>879498</v>
      </c>
      <c r="J142" s="13">
        <f ca="1">IFERROR(__xludf.DUMMYFUNCTION("GOOGLEFINANCE(A142,""volumeavg"")"),951790)</f>
        <v>951790</v>
      </c>
      <c r="K142" s="15">
        <f ca="1">IFERROR(__xludf.DUMMYFUNCTION("GOOGLEFINANCE(A142,""high52"")"),178.28)</f>
        <v>178.28</v>
      </c>
      <c r="L142" s="15">
        <f ca="1">IFERROR(__xludf.DUMMYFUNCTION("GOOGLEFINANCE(A142,""low52"")"),127.25)</f>
        <v>127.25</v>
      </c>
      <c r="M142" s="7">
        <f t="shared" ca="1" si="0"/>
        <v>45379.717931597224</v>
      </c>
    </row>
    <row r="143" spans="1:13">
      <c r="A143" s="4" t="s">
        <v>154</v>
      </c>
      <c r="B143" s="5" t="str">
        <f ca="1">IFERROR(__xludf.DUMMYFUNCTION("GoogleFinance(A143, ""name"")"),"Dow Inc")</f>
        <v>Dow Inc</v>
      </c>
      <c r="C143" s="15">
        <f ca="1">IFERROR(__xludf.DUMMYFUNCTION("GoogleFinance(A143, ""price"")"),57.93)</f>
        <v>57.93</v>
      </c>
      <c r="D143" s="6">
        <f ca="1">IFERROR(__xludf.DUMMYFUNCTION("GoogleFinance(A143, ""eps"")"),0.82)</f>
        <v>0.82</v>
      </c>
      <c r="E143" s="6">
        <f ca="1">IFERROR(__xludf.DUMMYFUNCTION("GOOGLEFINANCE(A143,""pe"")"),71.06)</f>
        <v>71.06</v>
      </c>
      <c r="F143" s="6">
        <f ca="1">IFERROR(__xludf.DUMMYFUNCTION("GoogleFinance(A143, ""beta"")"),1.32)</f>
        <v>1.32</v>
      </c>
      <c r="G143" s="13">
        <f ca="1">IFERROR(__xludf.DUMMYFUNCTION("GOOGLEFINANCE(A143,""shares"")"),703268000)</f>
        <v>703268000</v>
      </c>
      <c r="H143" s="10">
        <f ca="1">IFERROR(__xludf.DUMMYFUNCTION("GOOGLEFINANCE(A143,""marketcap"")"),40740321247)</f>
        <v>40740321247</v>
      </c>
      <c r="I143" s="13">
        <f ca="1">IFERROR(__xludf.DUMMYFUNCTION("GOOGLEFINANCE(A143,""volume"")"),4064551)</f>
        <v>4064551</v>
      </c>
      <c r="J143" s="13">
        <f ca="1">IFERROR(__xludf.DUMMYFUNCTION("GOOGLEFINANCE(A143,""volumeavg"")"),5639004)</f>
        <v>5639004</v>
      </c>
      <c r="K143" s="15">
        <f ca="1">IFERROR(__xludf.DUMMYFUNCTION("GOOGLEFINANCE(A143,""high52"")"),58.74)</f>
        <v>58.74</v>
      </c>
      <c r="L143" s="15">
        <f ca="1">IFERROR(__xludf.DUMMYFUNCTION("GOOGLEFINANCE(A143,""low52"")"),47.26)</f>
        <v>47.26</v>
      </c>
      <c r="M143" s="7">
        <f t="shared" ca="1" si="0"/>
        <v>45379.717931597224</v>
      </c>
    </row>
    <row r="144" spans="1:13">
      <c r="A144" s="4" t="s">
        <v>155</v>
      </c>
      <c r="B144" s="5" t="str">
        <f ca="1">IFERROR(__xludf.DUMMYFUNCTION("GoogleFinance(A144, ""name"")"),"Domino's Pizza Inc")</f>
        <v>Domino's Pizza Inc</v>
      </c>
      <c r="C144" s="15">
        <f ca="1">IFERROR(__xludf.DUMMYFUNCTION("GoogleFinance(A144, ""price"")"),496.88)</f>
        <v>496.88</v>
      </c>
      <c r="D144" s="6">
        <f ca="1">IFERROR(__xludf.DUMMYFUNCTION("GoogleFinance(A144, ""eps"")"),14.66)</f>
        <v>14.66</v>
      </c>
      <c r="E144" s="6">
        <f ca="1">IFERROR(__xludf.DUMMYFUNCTION("GOOGLEFINANCE(A144,""pe"")"),33.88)</f>
        <v>33.880000000000003</v>
      </c>
      <c r="F144" s="6">
        <f ca="1">IFERROR(__xludf.DUMMYFUNCTION("GoogleFinance(A144, ""beta"")"),0.85)</f>
        <v>0.85</v>
      </c>
      <c r="G144" s="13">
        <f ca="1">IFERROR(__xludf.DUMMYFUNCTION("GOOGLEFINANCE(A144,""shares"")"),34813000)</f>
        <v>34813000</v>
      </c>
      <c r="H144" s="10">
        <f ca="1">IFERROR(__xludf.DUMMYFUNCTION("GOOGLEFINANCE(A144,""marketcap"")"),17305734314)</f>
        <v>17305734314</v>
      </c>
      <c r="I144" s="13">
        <f ca="1">IFERROR(__xludf.DUMMYFUNCTION("GOOGLEFINANCE(A144,""volume"")"),668820)</f>
        <v>668820</v>
      </c>
      <c r="J144" s="13">
        <f ca="1">IFERROR(__xludf.DUMMYFUNCTION("GOOGLEFINANCE(A144,""volumeavg"")"),604824)</f>
        <v>604824</v>
      </c>
      <c r="K144" s="15">
        <f ca="1">IFERROR(__xludf.DUMMYFUNCTION("GOOGLEFINANCE(A144,""high52"")"),497.14)</f>
        <v>497.14</v>
      </c>
      <c r="L144" s="15">
        <f ca="1">IFERROR(__xludf.DUMMYFUNCTION("GOOGLEFINANCE(A144,""low52"")"),285.84)</f>
        <v>285.83999999999997</v>
      </c>
      <c r="M144" s="7">
        <f t="shared" ca="1" si="0"/>
        <v>45379.717931597224</v>
      </c>
    </row>
    <row r="145" spans="1:13">
      <c r="A145" s="4" t="s">
        <v>156</v>
      </c>
      <c r="B145" s="5" t="str">
        <f ca="1">IFERROR(__xludf.DUMMYFUNCTION("GoogleFinance(A145, ""name"")"),"Darden Restaurants, Inc.")</f>
        <v>Darden Restaurants, Inc.</v>
      </c>
      <c r="C145" s="15">
        <f ca="1">IFERROR(__xludf.DUMMYFUNCTION("GoogleFinance(A145, ""price"")"),167.15)</f>
        <v>167.15</v>
      </c>
      <c r="D145" s="6">
        <f ca="1">IFERROR(__xludf.DUMMYFUNCTION("GoogleFinance(A145, ""eps"")"),8.53)</f>
        <v>8.5299999999999994</v>
      </c>
      <c r="E145" s="6">
        <f ca="1">IFERROR(__xludf.DUMMYFUNCTION("GOOGLEFINANCE(A145,""pe"")"),19.59)</f>
        <v>19.59</v>
      </c>
      <c r="F145" s="6">
        <f ca="1">IFERROR(__xludf.DUMMYFUNCTION("GoogleFinance(A145, ""beta"")"),1.26)</f>
        <v>1.26</v>
      </c>
      <c r="G145" s="13">
        <f ca="1">IFERROR(__xludf.DUMMYFUNCTION("GOOGLEFINANCE(A145,""shares"")"),119411000)</f>
        <v>119411000</v>
      </c>
      <c r="H145" s="10">
        <f ca="1">IFERROR(__xludf.DUMMYFUNCTION("GOOGLEFINANCE(A145,""marketcap"")"),19959497776)</f>
        <v>19959497776</v>
      </c>
      <c r="I145" s="13">
        <f ca="1">IFERROR(__xludf.DUMMYFUNCTION("GOOGLEFINANCE(A145,""volume"")"),974813)</f>
        <v>974813</v>
      </c>
      <c r="J145" s="13">
        <f ca="1">IFERROR(__xludf.DUMMYFUNCTION("GOOGLEFINANCE(A145,""volumeavg"")"),1285159)</f>
        <v>1285159</v>
      </c>
      <c r="K145" s="15">
        <f ca="1">IFERROR(__xludf.DUMMYFUNCTION("GOOGLEFINANCE(A145,""high52"")"),176.84)</f>
        <v>176.84</v>
      </c>
      <c r="L145" s="15">
        <f ca="1">IFERROR(__xludf.DUMMYFUNCTION("GOOGLEFINANCE(A145,""low52"")"),133.36)</f>
        <v>133.36000000000001</v>
      </c>
      <c r="M145" s="7">
        <f t="shared" ca="1" si="0"/>
        <v>45379.717931597224</v>
      </c>
    </row>
    <row r="146" spans="1:13">
      <c r="A146" s="4" t="s">
        <v>157</v>
      </c>
      <c r="B146" s="5" t="str">
        <f ca="1">IFERROR(__xludf.DUMMYFUNCTION("GoogleFinance(A146, ""name"")"),"DTE Energy Co")</f>
        <v>DTE Energy Co</v>
      </c>
      <c r="C146" s="15">
        <f ca="1">IFERROR(__xludf.DUMMYFUNCTION("GoogleFinance(A146, ""price"")"),112.14)</f>
        <v>112.14</v>
      </c>
      <c r="D146" s="6">
        <f ca="1">IFERROR(__xludf.DUMMYFUNCTION("GoogleFinance(A146, ""eps"")"),6.77)</f>
        <v>6.77</v>
      </c>
      <c r="E146" s="6">
        <f ca="1">IFERROR(__xludf.DUMMYFUNCTION("GOOGLEFINANCE(A146,""pe"")"),16.57)</f>
        <v>16.57</v>
      </c>
      <c r="F146" s="6">
        <f ca="1">IFERROR(__xludf.DUMMYFUNCTION("GoogleFinance(A146, ""beta"")"),0.64)</f>
        <v>0.64</v>
      </c>
      <c r="G146" s="13">
        <f ca="1">IFERROR(__xludf.DUMMYFUNCTION("GOOGLEFINANCE(A146,""shares"")"),206925000)</f>
        <v>206925000</v>
      </c>
      <c r="H146" s="10">
        <f ca="1">IFERROR(__xludf.DUMMYFUNCTION("GOOGLEFINANCE(A146,""marketcap"")"),23151639293)</f>
        <v>23151639293</v>
      </c>
      <c r="I146" s="13">
        <f ca="1">IFERROR(__xludf.DUMMYFUNCTION("GOOGLEFINANCE(A146,""volume"")"),990495)</f>
        <v>990495</v>
      </c>
      <c r="J146" s="13">
        <f ca="1">IFERROR(__xludf.DUMMYFUNCTION("GOOGLEFINANCE(A146,""volumeavg"")"),1213811)</f>
        <v>1213811</v>
      </c>
      <c r="K146" s="15">
        <f ca="1">IFERROR(__xludf.DUMMYFUNCTION("GOOGLEFINANCE(A146,""high52"")"),116.73)</f>
        <v>116.73</v>
      </c>
      <c r="L146" s="15">
        <f ca="1">IFERROR(__xludf.DUMMYFUNCTION("GOOGLEFINANCE(A146,""low52"")"),90.14)</f>
        <v>90.14</v>
      </c>
      <c r="M146" s="7">
        <f t="shared" ca="1" si="0"/>
        <v>45379.717931597224</v>
      </c>
    </row>
    <row r="147" spans="1:13">
      <c r="A147" s="4" t="s">
        <v>158</v>
      </c>
      <c r="B147" s="5" t="str">
        <f ca="1">IFERROR(__xludf.DUMMYFUNCTION("GoogleFinance(A147, ""name"")"),"Duke Energy Corp")</f>
        <v>Duke Energy Corp</v>
      </c>
      <c r="C147" s="15">
        <f ca="1">IFERROR(__xludf.DUMMYFUNCTION("GoogleFinance(A147, ""price"")"),96.71)</f>
        <v>96.71</v>
      </c>
      <c r="D147" s="6">
        <f ca="1">IFERROR(__xludf.DUMMYFUNCTION("GoogleFinance(A147, ""eps"")"),5.43)</f>
        <v>5.43</v>
      </c>
      <c r="E147" s="6">
        <f ca="1">IFERROR(__xludf.DUMMYFUNCTION("GOOGLEFINANCE(A147,""pe"")"),17.8)</f>
        <v>17.8</v>
      </c>
      <c r="F147" s="6">
        <f ca="1">IFERROR(__xludf.DUMMYFUNCTION("GoogleFinance(A147, ""beta"")"),0.46)</f>
        <v>0.46</v>
      </c>
      <c r="G147" s="13">
        <f ca="1">IFERROR(__xludf.DUMMYFUNCTION("GOOGLEFINANCE(A147,""shares"")"),771458000)</f>
        <v>771458000</v>
      </c>
      <c r="H147" s="10">
        <f ca="1">IFERROR(__xludf.DUMMYFUNCTION("GOOGLEFINANCE(A147,""marketcap"")"),74607673460)</f>
        <v>74607673460</v>
      </c>
      <c r="I147" s="13">
        <f ca="1">IFERROR(__xludf.DUMMYFUNCTION("GOOGLEFINANCE(A147,""volume"")"),2637612)</f>
        <v>2637612</v>
      </c>
      <c r="J147" s="13">
        <f ca="1">IFERROR(__xludf.DUMMYFUNCTION("GOOGLEFINANCE(A147,""volumeavg"")"),3211559)</f>
        <v>3211559</v>
      </c>
      <c r="K147" s="15">
        <f ca="1">IFERROR(__xludf.DUMMYFUNCTION("GOOGLEFINANCE(A147,""high52"")"),100.39)</f>
        <v>100.39</v>
      </c>
      <c r="L147" s="15">
        <f ca="1">IFERROR(__xludf.DUMMYFUNCTION("GOOGLEFINANCE(A147,""low52"")"),83.06)</f>
        <v>83.06</v>
      </c>
      <c r="M147" s="7">
        <f t="shared" ca="1" si="0"/>
        <v>45379.717931597224</v>
      </c>
    </row>
    <row r="148" spans="1:13">
      <c r="A148" s="4" t="s">
        <v>159</v>
      </c>
      <c r="B148" s="5" t="str">
        <f ca="1">IFERROR(__xludf.DUMMYFUNCTION("GoogleFinance(A148, ""name"")"),"Davita Inc")</f>
        <v>Davita Inc</v>
      </c>
      <c r="C148" s="15">
        <f ca="1">IFERROR(__xludf.DUMMYFUNCTION("GoogleFinance(A148, ""price"")"),138.05)</f>
        <v>138.05000000000001</v>
      </c>
      <c r="D148" s="6">
        <f ca="1">IFERROR(__xludf.DUMMYFUNCTION("GoogleFinance(A148, ""eps"")"),7.42)</f>
        <v>7.42</v>
      </c>
      <c r="E148" s="6">
        <f ca="1">IFERROR(__xludf.DUMMYFUNCTION("GOOGLEFINANCE(A148,""pe"")"),18.6)</f>
        <v>18.600000000000001</v>
      </c>
      <c r="F148" s="6">
        <f ca="1">IFERROR(__xludf.DUMMYFUNCTION("GoogleFinance(A148, ""beta"")"),1.04)</f>
        <v>1.04</v>
      </c>
      <c r="G148" s="13">
        <f ca="1">IFERROR(__xludf.DUMMYFUNCTION("GOOGLEFINANCE(A148,""shares"")"),87700000)</f>
        <v>87700000</v>
      </c>
      <c r="H148" s="10">
        <f ca="1">IFERROR(__xludf.DUMMYFUNCTION("GOOGLEFINANCE(A148,""marketcap"")"),12106989409)</f>
        <v>12106989409</v>
      </c>
      <c r="I148" s="13">
        <f ca="1">IFERROR(__xludf.DUMMYFUNCTION("GOOGLEFINANCE(A148,""volume"")"),608798)</f>
        <v>608798</v>
      </c>
      <c r="J148" s="13">
        <f ca="1">IFERROR(__xludf.DUMMYFUNCTION("GOOGLEFINANCE(A148,""volumeavg"")"),990748)</f>
        <v>990748</v>
      </c>
      <c r="K148" s="15">
        <f ca="1">IFERROR(__xludf.DUMMYFUNCTION("GOOGLEFINANCE(A148,""high52"")"),141.54)</f>
        <v>141.54</v>
      </c>
      <c r="L148" s="15">
        <f ca="1">IFERROR(__xludf.DUMMYFUNCTION("GOOGLEFINANCE(A148,""low52"")"),71.51)</f>
        <v>71.510000000000005</v>
      </c>
      <c r="M148" s="7">
        <f t="shared" ca="1" si="0"/>
        <v>45379.717931597224</v>
      </c>
    </row>
    <row r="149" spans="1:13">
      <c r="A149" s="4" t="s">
        <v>160</v>
      </c>
      <c r="B149" s="5" t="str">
        <f ca="1">IFERROR(__xludf.DUMMYFUNCTION("GoogleFinance(A149, ""name"")"),"Devon Energy Corp")</f>
        <v>Devon Energy Corp</v>
      </c>
      <c r="C149" s="15">
        <f ca="1">IFERROR(__xludf.DUMMYFUNCTION("GoogleFinance(A149, ""price"")"),50.18)</f>
        <v>50.18</v>
      </c>
      <c r="D149" s="6">
        <f ca="1">IFERROR(__xludf.DUMMYFUNCTION("GoogleFinance(A149, ""eps"")"),5.84)</f>
        <v>5.84</v>
      </c>
      <c r="E149" s="6">
        <f ca="1">IFERROR(__xludf.DUMMYFUNCTION("GOOGLEFINANCE(A149,""pe"")"),8.6)</f>
        <v>8.6</v>
      </c>
      <c r="F149" s="6">
        <f ca="1">IFERROR(__xludf.DUMMYFUNCTION("GoogleFinance(A149, ""beta"")"),2.17)</f>
        <v>2.17</v>
      </c>
      <c r="G149" s="13">
        <f ca="1">IFERROR(__xludf.DUMMYFUNCTION("GOOGLEFINANCE(A149,""shares"")"),635000000)</f>
        <v>635000000</v>
      </c>
      <c r="H149" s="10">
        <f ca="1">IFERROR(__xludf.DUMMYFUNCTION("GOOGLEFINANCE(A149,""marketcap"")"),31864300193)</f>
        <v>31864300193</v>
      </c>
      <c r="I149" s="13">
        <f ca="1">IFERROR(__xludf.DUMMYFUNCTION("GOOGLEFINANCE(A149,""volume"")"),9255950)</f>
        <v>9255950</v>
      </c>
      <c r="J149" s="13">
        <f ca="1">IFERROR(__xludf.DUMMYFUNCTION("GOOGLEFINANCE(A149,""volumeavg"")"),7971566)</f>
        <v>7971566</v>
      </c>
      <c r="K149" s="15">
        <f ca="1">IFERROR(__xludf.DUMMYFUNCTION("GOOGLEFINANCE(A149,""high52"")"),56.19)</f>
        <v>56.19</v>
      </c>
      <c r="L149" s="15">
        <f ca="1">IFERROR(__xludf.DUMMYFUNCTION("GOOGLEFINANCE(A149,""low52"")"),40.47)</f>
        <v>40.47</v>
      </c>
      <c r="M149" s="7">
        <f t="shared" ca="1" si="0"/>
        <v>45379.717931597224</v>
      </c>
    </row>
    <row r="150" spans="1:13">
      <c r="A150" s="4" t="s">
        <v>161</v>
      </c>
      <c r="B150" s="5" t="str">
        <f ca="1">IFERROR(__xludf.DUMMYFUNCTION("GoogleFinance(A150, ""name"")"),"DexCom Inc")</f>
        <v>DexCom Inc</v>
      </c>
      <c r="C150" s="15">
        <f ca="1">IFERROR(__xludf.DUMMYFUNCTION("GoogleFinance(A150, ""price"")"),138.7)</f>
        <v>138.69999999999999</v>
      </c>
      <c r="D150" s="6">
        <f ca="1">IFERROR(__xludf.DUMMYFUNCTION("GoogleFinance(A150, ""eps"")"),1.27)</f>
        <v>1.27</v>
      </c>
      <c r="E150" s="6">
        <f ca="1">IFERROR(__xludf.DUMMYFUNCTION("GOOGLEFINANCE(A150,""pe"")"),108.99)</f>
        <v>108.99</v>
      </c>
      <c r="F150" s="6">
        <f ca="1">IFERROR(__xludf.DUMMYFUNCTION("GoogleFinance(A150, ""beta"")"),1.18)</f>
        <v>1.18</v>
      </c>
      <c r="G150" s="13">
        <f ca="1">IFERROR(__xludf.DUMMYFUNCTION("GOOGLEFINANCE(A150,""shares"")"),385515000)</f>
        <v>385515000</v>
      </c>
      <c r="H150" s="10">
        <f ca="1">IFERROR(__xludf.DUMMYFUNCTION("GOOGLEFINANCE(A150,""marketcap"")"),53470984803)</f>
        <v>53470984803</v>
      </c>
      <c r="I150" s="13">
        <f ca="1">IFERROR(__xludf.DUMMYFUNCTION("GOOGLEFINANCE(A150,""volume"")"),2519944)</f>
        <v>2519944</v>
      </c>
      <c r="J150" s="13">
        <f ca="1">IFERROR(__xludf.DUMMYFUNCTION("GOOGLEFINANCE(A150,""volumeavg"")"),3425226)</f>
        <v>3425226</v>
      </c>
      <c r="K150" s="15">
        <f ca="1">IFERROR(__xludf.DUMMYFUNCTION("GOOGLEFINANCE(A150,""high52"")"),142)</f>
        <v>142</v>
      </c>
      <c r="L150" s="15">
        <f ca="1">IFERROR(__xludf.DUMMYFUNCTION("GOOGLEFINANCE(A150,""low52"")"),74.75)</f>
        <v>74.75</v>
      </c>
      <c r="M150" s="7">
        <f t="shared" ca="1" si="0"/>
        <v>45379.717931597224</v>
      </c>
    </row>
    <row r="151" spans="1:13">
      <c r="A151" s="4" t="s">
        <v>162</v>
      </c>
      <c r="B151" s="5" t="str">
        <f ca="1">IFERROR(__xludf.DUMMYFUNCTION("GoogleFinance(A151, ""name"")"),"Electronic Arts Inc")</f>
        <v>Electronic Arts Inc</v>
      </c>
      <c r="C151" s="15">
        <f ca="1">IFERROR(__xludf.DUMMYFUNCTION("GoogleFinance(A151, ""price"")"),132.67)</f>
        <v>132.66999999999999</v>
      </c>
      <c r="D151" s="6">
        <f ca="1">IFERROR(__xludf.DUMMYFUNCTION("GoogleFinance(A151, ""eps"")"),3.96)</f>
        <v>3.96</v>
      </c>
      <c r="E151" s="6">
        <f ca="1">IFERROR(__xludf.DUMMYFUNCTION("GOOGLEFINANCE(A151,""pe"")"),33.5)</f>
        <v>33.5</v>
      </c>
      <c r="F151" s="6">
        <f ca="1">IFERROR(__xludf.DUMMYFUNCTION("GoogleFinance(A151, ""beta"")"),0.77)</f>
        <v>0.77</v>
      </c>
      <c r="G151" s="13">
        <f ca="1">IFERROR(__xludf.DUMMYFUNCTION("GOOGLEFINANCE(A151,""shares"")"),267350000)</f>
        <v>267350000</v>
      </c>
      <c r="H151" s="10">
        <f ca="1">IFERROR(__xludf.DUMMYFUNCTION("GOOGLEFINANCE(A151,""marketcap"")"),35469377078)</f>
        <v>35469377078</v>
      </c>
      <c r="I151" s="13">
        <f ca="1">IFERROR(__xludf.DUMMYFUNCTION("GOOGLEFINANCE(A151,""volume"")"),2368777)</f>
        <v>2368777</v>
      </c>
      <c r="J151" s="13">
        <f ca="1">IFERROR(__xludf.DUMMYFUNCTION("GOOGLEFINANCE(A151,""volumeavg"")"),2372713)</f>
        <v>2372713</v>
      </c>
      <c r="K151" s="15">
        <f ca="1">IFERROR(__xludf.DUMMYFUNCTION("GOOGLEFINANCE(A151,""high52"")"),144.53)</f>
        <v>144.53</v>
      </c>
      <c r="L151" s="15">
        <f ca="1">IFERROR(__xludf.DUMMYFUNCTION("GOOGLEFINANCE(A151,""low52"")"),117.47)</f>
        <v>117.47</v>
      </c>
      <c r="M151" s="7">
        <f t="shared" ca="1" si="0"/>
        <v>45379.717931597224</v>
      </c>
    </row>
    <row r="152" spans="1:13">
      <c r="A152" s="4" t="s">
        <v>163</v>
      </c>
      <c r="B152" s="5" t="str">
        <f ca="1">IFERROR(__xludf.DUMMYFUNCTION("GoogleFinance(A152, ""name"")"),"eBay Inc")</f>
        <v>eBay Inc</v>
      </c>
      <c r="C152" s="15">
        <f ca="1">IFERROR(__xludf.DUMMYFUNCTION("GoogleFinance(A152, ""price"")"),52.78)</f>
        <v>52.78</v>
      </c>
      <c r="D152" s="6">
        <f ca="1">IFERROR(__xludf.DUMMYFUNCTION("GoogleFinance(A152, ""eps"")"),5.21)</f>
        <v>5.21</v>
      </c>
      <c r="E152" s="6">
        <f ca="1">IFERROR(__xludf.DUMMYFUNCTION("GOOGLEFINANCE(A152,""pe"")"),10.14)</f>
        <v>10.14</v>
      </c>
      <c r="F152" s="6">
        <f ca="1">IFERROR(__xludf.DUMMYFUNCTION("GoogleFinance(A152, ""beta"")"),1.31)</f>
        <v>1.31</v>
      </c>
      <c r="G152" s="13">
        <f ca="1">IFERROR(__xludf.DUMMYFUNCTION("GOOGLEFINANCE(A152,""shares"")"),518000000)</f>
        <v>518000000</v>
      </c>
      <c r="H152" s="10">
        <f ca="1">IFERROR(__xludf.DUMMYFUNCTION("GOOGLEFINANCE(A152,""marketcap"")"),27340039367)</f>
        <v>27340039367</v>
      </c>
      <c r="I152" s="13">
        <f ca="1">IFERROR(__xludf.DUMMYFUNCTION("GOOGLEFINANCE(A152,""volume"")"),6816355)</f>
        <v>6816355</v>
      </c>
      <c r="J152" s="13">
        <f ca="1">IFERROR(__xludf.DUMMYFUNCTION("GOOGLEFINANCE(A152,""volumeavg"")"),8628927)</f>
        <v>8628927</v>
      </c>
      <c r="K152" s="15">
        <f ca="1">IFERROR(__xludf.DUMMYFUNCTION("GOOGLEFINANCE(A152,""high52"")"),52.93)</f>
        <v>52.93</v>
      </c>
      <c r="L152" s="15">
        <f ca="1">IFERROR(__xludf.DUMMYFUNCTION("GOOGLEFINANCE(A152,""low52"")"),37.17)</f>
        <v>37.17</v>
      </c>
      <c r="M152" s="7">
        <f t="shared" ca="1" si="0"/>
        <v>45379.717931597224</v>
      </c>
    </row>
    <row r="153" spans="1:13">
      <c r="A153" s="4" t="s">
        <v>164</v>
      </c>
      <c r="B153" s="5" t="str">
        <f ca="1">IFERROR(__xludf.DUMMYFUNCTION("GoogleFinance(A153, ""name"")"),"Ecolab Inc")</f>
        <v>Ecolab Inc</v>
      </c>
      <c r="C153" s="15">
        <f ca="1">IFERROR(__xludf.DUMMYFUNCTION("GoogleFinance(A153, ""price"")"),230.9)</f>
        <v>230.9</v>
      </c>
      <c r="D153" s="6">
        <f ca="1">IFERROR(__xludf.DUMMYFUNCTION("GoogleFinance(A153, ""eps"")"),4.79)</f>
        <v>4.79</v>
      </c>
      <c r="E153" s="6">
        <f ca="1">IFERROR(__xludf.DUMMYFUNCTION("GOOGLEFINANCE(A153,""pe"")"),48.21)</f>
        <v>48.21</v>
      </c>
      <c r="F153" s="6">
        <f ca="1">IFERROR(__xludf.DUMMYFUNCTION("GoogleFinance(A153, ""beta"")"),1.1)</f>
        <v>1.1000000000000001</v>
      </c>
      <c r="G153" s="13">
        <f ca="1">IFERROR(__xludf.DUMMYFUNCTION("GOOGLEFINANCE(A153,""shares"")"),285513000)</f>
        <v>285513000</v>
      </c>
      <c r="H153" s="10">
        <f ca="1">IFERROR(__xludf.DUMMYFUNCTION("GOOGLEFINANCE(A153,""marketcap"")"),66017079054)</f>
        <v>66017079054</v>
      </c>
      <c r="I153" s="13">
        <f ca="1">IFERROR(__xludf.DUMMYFUNCTION("GOOGLEFINANCE(A153,""volume"")"),820954)</f>
        <v>820954</v>
      </c>
      <c r="J153" s="13">
        <f ca="1">IFERROR(__xludf.DUMMYFUNCTION("GOOGLEFINANCE(A153,""volumeavg"")"),1326760)</f>
        <v>1326760</v>
      </c>
      <c r="K153" s="15">
        <f ca="1">IFERROR(__xludf.DUMMYFUNCTION("GOOGLEFINANCE(A153,""high52"")"),231.86)</f>
        <v>231.86</v>
      </c>
      <c r="L153" s="15">
        <f ca="1">IFERROR(__xludf.DUMMYFUNCTION("GOOGLEFINANCE(A153,""low52"")"),156.72)</f>
        <v>156.72</v>
      </c>
      <c r="M153" s="7">
        <f t="shared" ca="1" si="0"/>
        <v>45379.717931597224</v>
      </c>
    </row>
    <row r="154" spans="1:13">
      <c r="A154" s="4" t="s">
        <v>165</v>
      </c>
      <c r="B154" s="5" t="str">
        <f ca="1">IFERROR(__xludf.DUMMYFUNCTION("GoogleFinance(A154, ""name"")"),"Consolidated Edison, Inc.")</f>
        <v>Consolidated Edison, Inc.</v>
      </c>
      <c r="C154" s="15">
        <f ca="1">IFERROR(__xludf.DUMMYFUNCTION("GoogleFinance(A154, ""price"")"),90.81)</f>
        <v>90.81</v>
      </c>
      <c r="D154" s="6">
        <f ca="1">IFERROR(__xludf.DUMMYFUNCTION("GoogleFinance(A154, ""eps"")"),7.21)</f>
        <v>7.21</v>
      </c>
      <c r="E154" s="6">
        <f ca="1">IFERROR(__xludf.DUMMYFUNCTION("GOOGLEFINANCE(A154,""pe"")"),12.59)</f>
        <v>12.59</v>
      </c>
      <c r="F154" s="6">
        <f ca="1">IFERROR(__xludf.DUMMYFUNCTION("GoogleFinance(A154, ""beta"")"),0.35)</f>
        <v>0.35</v>
      </c>
      <c r="G154" s="13">
        <f ca="1">IFERROR(__xludf.DUMMYFUNCTION("GOOGLEFINANCE(A154,""shares"")"),345510000)</f>
        <v>345510000</v>
      </c>
      <c r="H154" s="10">
        <f ca="1">IFERROR(__xludf.DUMMYFUNCTION("GOOGLEFINANCE(A154,""marketcap"")"),31375762256)</f>
        <v>31375762256</v>
      </c>
      <c r="I154" s="13">
        <f ca="1">IFERROR(__xludf.DUMMYFUNCTION("GOOGLEFINANCE(A154,""volume"")"),1785835)</f>
        <v>1785835</v>
      </c>
      <c r="J154" s="13">
        <f ca="1">IFERROR(__xludf.DUMMYFUNCTION("GOOGLEFINANCE(A154,""volumeavg"")"),1718689)</f>
        <v>1718689</v>
      </c>
      <c r="K154" s="15">
        <f ca="1">IFERROR(__xludf.DUMMYFUNCTION("GOOGLEFINANCE(A154,""high52"")"),100.92)</f>
        <v>100.92</v>
      </c>
      <c r="L154" s="15">
        <f ca="1">IFERROR(__xludf.DUMMYFUNCTION("GOOGLEFINANCE(A154,""low52"")"),80.46)</f>
        <v>80.459999999999994</v>
      </c>
      <c r="M154" s="7">
        <f t="shared" ca="1" si="0"/>
        <v>45379.717931597224</v>
      </c>
    </row>
    <row r="155" spans="1:13">
      <c r="A155" s="4" t="s">
        <v>166</v>
      </c>
      <c r="B155" s="5" t="str">
        <f ca="1">IFERROR(__xludf.DUMMYFUNCTION("GoogleFinance(A155, ""name"")"),"Equifax Inc")</f>
        <v>Equifax Inc</v>
      </c>
      <c r="C155" s="15">
        <f ca="1">IFERROR(__xludf.DUMMYFUNCTION("GoogleFinance(A155, ""price"")"),267.52)</f>
        <v>267.52</v>
      </c>
      <c r="D155" s="6">
        <f ca="1">IFERROR(__xludf.DUMMYFUNCTION("GoogleFinance(A155, ""eps"")"),4.4)</f>
        <v>4.4000000000000004</v>
      </c>
      <c r="E155" s="6">
        <f ca="1">IFERROR(__xludf.DUMMYFUNCTION("GOOGLEFINANCE(A155,""pe"")"),60.78)</f>
        <v>60.78</v>
      </c>
      <c r="F155" s="6">
        <f ca="1">IFERROR(__xludf.DUMMYFUNCTION("GoogleFinance(A155, ""beta"")"),1.52)</f>
        <v>1.52</v>
      </c>
      <c r="G155" s="13">
        <f ca="1">IFERROR(__xludf.DUMMYFUNCTION("GOOGLEFINANCE(A155,""shares"")"),124231000)</f>
        <v>124231000</v>
      </c>
      <c r="H155" s="10">
        <f ca="1">IFERROR(__xludf.DUMMYFUNCTION("GOOGLEFINANCE(A155,""marketcap"")"),33234302507)</f>
        <v>33234302507</v>
      </c>
      <c r="I155" s="13">
        <f ca="1">IFERROR(__xludf.DUMMYFUNCTION("GOOGLEFINANCE(A155,""volume"")"),706493)</f>
        <v>706493</v>
      </c>
      <c r="J155" s="13">
        <f ca="1">IFERROR(__xludf.DUMMYFUNCTION("GOOGLEFINANCE(A155,""volumeavg"")"),757439)</f>
        <v>757439</v>
      </c>
      <c r="K155" s="15">
        <f ca="1">IFERROR(__xludf.DUMMYFUNCTION("GOOGLEFINANCE(A155,""high52"")"),275.1)</f>
        <v>275.10000000000002</v>
      </c>
      <c r="L155" s="15">
        <f ca="1">IFERROR(__xludf.DUMMYFUNCTION("GOOGLEFINANCE(A155,""low52"")"),159.95)</f>
        <v>159.94999999999999</v>
      </c>
      <c r="M155" s="7">
        <f t="shared" ca="1" si="0"/>
        <v>45379.717931597224</v>
      </c>
    </row>
    <row r="156" spans="1:13">
      <c r="A156" s="4" t="s">
        <v>167</v>
      </c>
      <c r="B156" s="5" t="str">
        <f ca="1">IFERROR(__xludf.DUMMYFUNCTION("GoogleFinance(A156, ""name"")"),"Everest Group Ltd")</f>
        <v>Everest Group Ltd</v>
      </c>
      <c r="C156" s="15">
        <f ca="1">IFERROR(__xludf.DUMMYFUNCTION("GoogleFinance(A156, ""price"")"),397.5)</f>
        <v>397.5</v>
      </c>
      <c r="D156" s="6">
        <f ca="1">IFERROR(__xludf.DUMMYFUNCTION("GoogleFinance(A156, ""eps"")"),60.24)</f>
        <v>60.24</v>
      </c>
      <c r="E156" s="6">
        <f ca="1">IFERROR(__xludf.DUMMYFUNCTION("GOOGLEFINANCE(A156,""pe"")"),6.6)</f>
        <v>6.6</v>
      </c>
      <c r="F156" s="6">
        <f ca="1">IFERROR(__xludf.DUMMYFUNCTION("GoogleFinance(A156, ""beta"")"),0.54)</f>
        <v>0.54</v>
      </c>
      <c r="G156" s="13">
        <f ca="1">IFERROR(__xludf.DUMMYFUNCTION("GOOGLEFINANCE(A156,""shares"")"),43382000)</f>
        <v>43382000</v>
      </c>
      <c r="H156" s="10">
        <f ca="1">IFERROR(__xludf.DUMMYFUNCTION("GOOGLEFINANCE(A156,""marketcap"")"),17244170100)</f>
        <v>17244170100</v>
      </c>
      <c r="I156" s="13">
        <f ca="1">IFERROR(__xludf.DUMMYFUNCTION("GOOGLEFINANCE(A156,""volume"")"),241506)</f>
        <v>241506</v>
      </c>
      <c r="J156" s="13">
        <f ca="1">IFERROR(__xludf.DUMMYFUNCTION("GOOGLEFINANCE(A156,""volumeavg"")"),367407)</f>
        <v>367407</v>
      </c>
      <c r="K156" s="15">
        <f ca="1">IFERROR(__xludf.DUMMYFUNCTION("GOOGLEFINANCE(A156,""high52"")"),417.92)</f>
        <v>417.92</v>
      </c>
      <c r="L156" s="15">
        <f ca="1">IFERROR(__xludf.DUMMYFUNCTION("GOOGLEFINANCE(A156,""low52"")"),331.08)</f>
        <v>331.08</v>
      </c>
      <c r="M156" s="7">
        <f t="shared" ca="1" si="0"/>
        <v>45379.717931597224</v>
      </c>
    </row>
    <row r="157" spans="1:13">
      <c r="A157" s="4" t="s">
        <v>168</v>
      </c>
      <c r="B157" s="5" t="str">
        <f ca="1">IFERROR(__xludf.DUMMYFUNCTION("GoogleFinance(A157, ""name"")"),"Edison International")</f>
        <v>Edison International</v>
      </c>
      <c r="C157" s="15">
        <f ca="1">IFERROR(__xludf.DUMMYFUNCTION("GoogleFinance(A157, ""price"")"),70.73)</f>
        <v>70.73</v>
      </c>
      <c r="D157" s="6">
        <f ca="1">IFERROR(__xludf.DUMMYFUNCTION("GoogleFinance(A157, ""eps"")"),3.11)</f>
        <v>3.11</v>
      </c>
      <c r="E157" s="6">
        <f ca="1">IFERROR(__xludf.DUMMYFUNCTION("GOOGLEFINANCE(A157,""pe"")"),22.75)</f>
        <v>22.75</v>
      </c>
      <c r="F157" s="6">
        <f ca="1">IFERROR(__xludf.DUMMYFUNCTION("GoogleFinance(A157, ""beta"")"),0.96)</f>
        <v>0.96</v>
      </c>
      <c r="G157" s="13">
        <f ca="1">IFERROR(__xludf.DUMMYFUNCTION("GOOGLEFINANCE(A157,""shares"")"),384524000)</f>
        <v>384524000</v>
      </c>
      <c r="H157" s="10">
        <f ca="1">IFERROR(__xludf.DUMMYFUNCTION("GOOGLEFINANCE(A157,""marketcap"")"),27208424764)</f>
        <v>27208424764</v>
      </c>
      <c r="I157" s="13">
        <f ca="1">IFERROR(__xludf.DUMMYFUNCTION("GOOGLEFINANCE(A157,""volume"")"),1898511)</f>
        <v>1898511</v>
      </c>
      <c r="J157" s="13">
        <f ca="1">IFERROR(__xludf.DUMMYFUNCTION("GOOGLEFINANCE(A157,""volumeavg"")"),1976228)</f>
        <v>1976228</v>
      </c>
      <c r="K157" s="15">
        <f ca="1">IFERROR(__xludf.DUMMYFUNCTION("GOOGLEFINANCE(A157,""high52"")"),74.92)</f>
        <v>74.92</v>
      </c>
      <c r="L157" s="15">
        <f ca="1">IFERROR(__xludf.DUMMYFUNCTION("GOOGLEFINANCE(A157,""low52"")"),58.82)</f>
        <v>58.82</v>
      </c>
      <c r="M157" s="7">
        <f t="shared" ca="1" si="0"/>
        <v>45379.717931597224</v>
      </c>
    </row>
    <row r="158" spans="1:13">
      <c r="A158" s="4" t="s">
        <v>169</v>
      </c>
      <c r="B158" s="5" t="str">
        <f ca="1">IFERROR(__xludf.DUMMYFUNCTION("GoogleFinance(A158, ""name"")"),"Estee Lauder Companies Inc")</f>
        <v>Estee Lauder Companies Inc</v>
      </c>
      <c r="C158" s="15">
        <f ca="1">IFERROR(__xludf.DUMMYFUNCTION("GoogleFinance(A158, ""price"")"),154.15)</f>
        <v>154.15</v>
      </c>
      <c r="D158" s="6">
        <f ca="1">IFERROR(__xludf.DUMMYFUNCTION("GoogleFinance(A158, ""eps"")"),1.3)</f>
        <v>1.3</v>
      </c>
      <c r="E158" s="6">
        <f ca="1">IFERROR(__xludf.DUMMYFUNCTION("GOOGLEFINANCE(A158,""pe"")"),119.02)</f>
        <v>119.02</v>
      </c>
      <c r="F158" s="6">
        <f ca="1">IFERROR(__xludf.DUMMYFUNCTION("GoogleFinance(A158, ""beta"")"),1.07)</f>
        <v>1.07</v>
      </c>
      <c r="G158" s="13">
        <f ca="1">IFERROR(__xludf.DUMMYFUNCTION("GOOGLEFINANCE(A158,""shares"")"),232931000)</f>
        <v>232931000</v>
      </c>
      <c r="H158" s="10">
        <f ca="1">IFERROR(__xludf.DUMMYFUNCTION("GOOGLEFINANCE(A158,""marketcap"")"),55258657007)</f>
        <v>55258657007</v>
      </c>
      <c r="I158" s="13">
        <f ca="1">IFERROR(__xludf.DUMMYFUNCTION("GOOGLEFINANCE(A158,""volume"")"),4845597)</f>
        <v>4845597</v>
      </c>
      <c r="J158" s="13">
        <f ca="1">IFERROR(__xludf.DUMMYFUNCTION("GOOGLEFINANCE(A158,""volumeavg"")"),2199345)</f>
        <v>2199345</v>
      </c>
      <c r="K158" s="15">
        <f ca="1">IFERROR(__xludf.DUMMYFUNCTION("GOOGLEFINANCE(A158,""high52"")"),260.46)</f>
        <v>260.45999999999998</v>
      </c>
      <c r="L158" s="15">
        <f ca="1">IFERROR(__xludf.DUMMYFUNCTION("GOOGLEFINANCE(A158,""low52"")"),102.22)</f>
        <v>102.22</v>
      </c>
      <c r="M158" s="7">
        <f t="shared" ca="1" si="0"/>
        <v>45379.717931597224</v>
      </c>
    </row>
    <row r="159" spans="1:13">
      <c r="A159" s="4" t="s">
        <v>170</v>
      </c>
      <c r="B159" s="5" t="str">
        <f ca="1">IFERROR(__xludf.DUMMYFUNCTION("GoogleFinance(A159, ""name"")"),"Elevance Health Inc")</f>
        <v>Elevance Health Inc</v>
      </c>
      <c r="C159" s="15">
        <f ca="1">IFERROR(__xludf.DUMMYFUNCTION("GoogleFinance(A159, ""price"")"),518.54)</f>
        <v>518.54</v>
      </c>
      <c r="D159" s="6" t="str">
        <f ca="1">IFERROR(__xludf.DUMMYFUNCTION("GoogleFinance(A159, ""eps"")"),"#N/A")</f>
        <v>#N/A</v>
      </c>
      <c r="E159" s="6" t="str">
        <f ca="1">IFERROR(__xludf.DUMMYFUNCTION("GOOGLEFINANCE(A159,""pe"")"),"#N/A")</f>
        <v>#N/A</v>
      </c>
      <c r="F159" s="6">
        <f ca="1">IFERROR(__xludf.DUMMYFUNCTION("GoogleFinance(A159, ""beta"")"),0.78)</f>
        <v>0.78</v>
      </c>
      <c r="G159" s="13">
        <f ca="1">IFERROR(__xludf.DUMMYFUNCTION("GOOGLEFINANCE(A159,""shares"")"),232669000)</f>
        <v>232669000</v>
      </c>
      <c r="H159" s="10">
        <f ca="1">IFERROR(__xludf.DUMMYFUNCTION("GOOGLEFINANCE(A159,""marketcap"")"),120978400000)</f>
        <v>120978400000</v>
      </c>
      <c r="I159" s="13">
        <f ca="1">IFERROR(__xludf.DUMMYFUNCTION("GOOGLEFINANCE(A159,""volume"")"),875607)</f>
        <v>875607</v>
      </c>
      <c r="J159" s="13">
        <f ca="1">IFERROR(__xludf.DUMMYFUNCTION("GOOGLEFINANCE(A159,""volumeavg"")"),874336)</f>
        <v>874336</v>
      </c>
      <c r="K159" s="15">
        <f ca="1">IFERROR(__xludf.DUMMYFUNCTION("GOOGLEFINANCE(A159,""high52"")"),521.18)</f>
        <v>521.17999999999995</v>
      </c>
      <c r="L159" s="15">
        <f ca="1">IFERROR(__xludf.DUMMYFUNCTION("GOOGLEFINANCE(A159,""low52"")"),412)</f>
        <v>412</v>
      </c>
      <c r="M159" s="7">
        <f t="shared" ca="1" si="0"/>
        <v>45379.717931597224</v>
      </c>
    </row>
    <row r="160" spans="1:13">
      <c r="A160" s="4" t="s">
        <v>171</v>
      </c>
      <c r="B160" s="5" t="str">
        <f ca="1">IFERROR(__xludf.DUMMYFUNCTION("GoogleFinance(A160, ""name"")"),"Eastman Chemical Co")</f>
        <v>Eastman Chemical Co</v>
      </c>
      <c r="C160" s="15">
        <f ca="1">IFERROR(__xludf.DUMMYFUNCTION("GoogleFinance(A160, ""price"")"),100.22)</f>
        <v>100.22</v>
      </c>
      <c r="D160" s="6">
        <f ca="1">IFERROR(__xludf.DUMMYFUNCTION("GoogleFinance(A160, ""eps"")"),7.49)</f>
        <v>7.49</v>
      </c>
      <c r="E160" s="6">
        <f ca="1">IFERROR(__xludf.DUMMYFUNCTION("GOOGLEFINANCE(A160,""pe"")"),13.39)</f>
        <v>13.39</v>
      </c>
      <c r="F160" s="6">
        <f ca="1">IFERROR(__xludf.DUMMYFUNCTION("GoogleFinance(A160, ""beta"")"),1.52)</f>
        <v>1.52</v>
      </c>
      <c r="G160" s="13">
        <f ca="1">IFERROR(__xludf.DUMMYFUNCTION("GOOGLEFINANCE(A160,""shares"")"),117603000)</f>
        <v>117603000</v>
      </c>
      <c r="H160" s="10">
        <f ca="1">IFERROR(__xludf.DUMMYFUNCTION("GOOGLEFINANCE(A160,""marketcap"")"),11786212891)</f>
        <v>11786212891</v>
      </c>
      <c r="I160" s="13">
        <f ca="1">IFERROR(__xludf.DUMMYFUNCTION("GOOGLEFINANCE(A160,""volume"")"),1023103)</f>
        <v>1023103</v>
      </c>
      <c r="J160" s="13">
        <f ca="1">IFERROR(__xludf.DUMMYFUNCTION("GOOGLEFINANCE(A160,""volumeavg"")"),1139885)</f>
        <v>1139885</v>
      </c>
      <c r="K160" s="15">
        <f ca="1">IFERROR(__xludf.DUMMYFUNCTION("GOOGLEFINANCE(A160,""high52"")"),100.61)</f>
        <v>100.61</v>
      </c>
      <c r="L160" s="15">
        <f ca="1">IFERROR(__xludf.DUMMYFUNCTION("GOOGLEFINANCE(A160,""low52"")"),68.89)</f>
        <v>68.89</v>
      </c>
      <c r="M160" s="7">
        <f t="shared" ca="1" si="0"/>
        <v>45379.717931597224</v>
      </c>
    </row>
    <row r="161" spans="1:13">
      <c r="A161" s="4" t="s">
        <v>172</v>
      </c>
      <c r="B161" s="5" t="str">
        <f ca="1">IFERROR(__xludf.DUMMYFUNCTION("GoogleFinance(A161, ""name"")"),"Emerson Electric Co")</f>
        <v>Emerson Electric Co</v>
      </c>
      <c r="C161" s="15">
        <f ca="1">IFERROR(__xludf.DUMMYFUNCTION("GoogleFinance(A161, ""price"")"),113.42)</f>
        <v>113.42</v>
      </c>
      <c r="D161" s="6">
        <f ca="1">IFERROR(__xludf.DUMMYFUNCTION("GoogleFinance(A161, ""eps"")"),19.22)</f>
        <v>19.22</v>
      </c>
      <c r="E161" s="6">
        <f ca="1">IFERROR(__xludf.DUMMYFUNCTION("GOOGLEFINANCE(A161,""pe"")"),5.9)</f>
        <v>5.9</v>
      </c>
      <c r="F161" s="6">
        <f ca="1">IFERROR(__xludf.DUMMYFUNCTION("GoogleFinance(A161, ""beta"")"),1.36)</f>
        <v>1.36</v>
      </c>
      <c r="G161" s="13">
        <f ca="1">IFERROR(__xludf.DUMMYFUNCTION("GOOGLEFINANCE(A161,""shares"")"),571700000)</f>
        <v>571700000</v>
      </c>
      <c r="H161" s="10">
        <f ca="1">IFERROR(__xludf.DUMMYFUNCTION("GOOGLEFINANCE(A161,""marketcap"")"),64842201611)</f>
        <v>64842201611</v>
      </c>
      <c r="I161" s="13">
        <f ca="1">IFERROR(__xludf.DUMMYFUNCTION("GOOGLEFINANCE(A161,""volume"")"),2322592)</f>
        <v>2322592</v>
      </c>
      <c r="J161" s="13">
        <f ca="1">IFERROR(__xludf.DUMMYFUNCTION("GOOGLEFINANCE(A161,""volumeavg"")"),2687021)</f>
        <v>2687021</v>
      </c>
      <c r="K161" s="15">
        <f ca="1">IFERROR(__xludf.DUMMYFUNCTION("GOOGLEFINANCE(A161,""high52"")"),113.89)</f>
        <v>113.89</v>
      </c>
      <c r="L161" s="15">
        <f ca="1">IFERROR(__xludf.DUMMYFUNCTION("GOOGLEFINANCE(A161,""low52"")"),76.94)</f>
        <v>76.94</v>
      </c>
      <c r="M161" s="7">
        <f t="shared" ca="1" si="0"/>
        <v>45379.717931597224</v>
      </c>
    </row>
    <row r="162" spans="1:13">
      <c r="A162" s="4" t="s">
        <v>173</v>
      </c>
      <c r="B162" s="5" t="str">
        <f ca="1">IFERROR(__xludf.DUMMYFUNCTION("GoogleFinance(A162, ""name"")"),"Enphase Energy Inc")</f>
        <v>Enphase Energy Inc</v>
      </c>
      <c r="C162" s="15">
        <f ca="1">IFERROR(__xludf.DUMMYFUNCTION("GoogleFinance(A162, ""price"")"),120.98)</f>
        <v>120.98</v>
      </c>
      <c r="D162" s="6">
        <f ca="1">IFERROR(__xludf.DUMMYFUNCTION("GoogleFinance(A162, ""eps"")"),3.06)</f>
        <v>3.06</v>
      </c>
      <c r="E162" s="6">
        <f ca="1">IFERROR(__xludf.DUMMYFUNCTION("GOOGLEFINANCE(A162,""pe"")"),39.49)</f>
        <v>39.49</v>
      </c>
      <c r="F162" s="6">
        <f ca="1">IFERROR(__xludf.DUMMYFUNCTION("GoogleFinance(A162, ""beta"")"),1.48)</f>
        <v>1.48</v>
      </c>
      <c r="G162" s="13">
        <f ca="1">IFERROR(__xludf.DUMMYFUNCTION("GOOGLEFINANCE(A162,""shares"")"),135759000)</f>
        <v>135759000</v>
      </c>
      <c r="H162" s="10">
        <f ca="1">IFERROR(__xludf.DUMMYFUNCTION("GOOGLEFINANCE(A162,""marketcap"")"),16424160569)</f>
        <v>16424160569</v>
      </c>
      <c r="I162" s="13">
        <f ca="1">IFERROR(__xludf.DUMMYFUNCTION("GOOGLEFINANCE(A162,""volume"")"),2967832)</f>
        <v>2967832</v>
      </c>
      <c r="J162" s="13">
        <f ca="1">IFERROR(__xludf.DUMMYFUNCTION("GOOGLEFINANCE(A162,""volumeavg"")"),3457413)</f>
        <v>3457413</v>
      </c>
      <c r="K162" s="15">
        <f ca="1">IFERROR(__xludf.DUMMYFUNCTION("GOOGLEFINANCE(A162,""high52"")"),231.42)</f>
        <v>231.42</v>
      </c>
      <c r="L162" s="15">
        <f ca="1">IFERROR(__xludf.DUMMYFUNCTION("GOOGLEFINANCE(A162,""low52"")"),73.49)</f>
        <v>73.489999999999995</v>
      </c>
      <c r="M162" s="7">
        <f t="shared" ca="1" si="0"/>
        <v>45379.717931597224</v>
      </c>
    </row>
    <row r="163" spans="1:13">
      <c r="A163" s="4" t="s">
        <v>174</v>
      </c>
      <c r="B163" s="5" t="str">
        <f ca="1">IFERROR(__xludf.DUMMYFUNCTION("GoogleFinance(A163, ""name"")"),"EOG Resources Inc")</f>
        <v>EOG Resources Inc</v>
      </c>
      <c r="C163" s="15">
        <f ca="1">IFERROR(__xludf.DUMMYFUNCTION("GoogleFinance(A163, ""price"")"),127.84)</f>
        <v>127.84</v>
      </c>
      <c r="D163" s="6">
        <f ca="1">IFERROR(__xludf.DUMMYFUNCTION("GoogleFinance(A163, ""eps"")"),13)</f>
        <v>13</v>
      </c>
      <c r="E163" s="6">
        <f ca="1">IFERROR(__xludf.DUMMYFUNCTION("GOOGLEFINANCE(A163,""pe"")"),9.83)</f>
        <v>9.83</v>
      </c>
      <c r="F163" s="6">
        <f ca="1">IFERROR(__xludf.DUMMYFUNCTION("GoogleFinance(A163, ""beta"")"),1.38)</f>
        <v>1.38</v>
      </c>
      <c r="G163" s="13">
        <f ca="1">IFERROR(__xludf.DUMMYFUNCTION("GOOGLEFINANCE(A163,""shares"")"),580002000)</f>
        <v>580002000</v>
      </c>
      <c r="H163" s="10">
        <f ca="1">IFERROR(__xludf.DUMMYFUNCTION("GOOGLEFINANCE(A163,""marketcap"")"),74147427987)</f>
        <v>74147427987</v>
      </c>
      <c r="I163" s="13">
        <f ca="1">IFERROR(__xludf.DUMMYFUNCTION("GOOGLEFINANCE(A163,""volume"")"),3310524)</f>
        <v>3310524</v>
      </c>
      <c r="J163" s="13">
        <f ca="1">IFERROR(__xludf.DUMMYFUNCTION("GOOGLEFINANCE(A163,""volumeavg"")"),3988814)</f>
        <v>3988814</v>
      </c>
      <c r="K163" s="15">
        <f ca="1">IFERROR(__xludf.DUMMYFUNCTION("GOOGLEFINANCE(A163,""high52"")"),136.79)</f>
        <v>136.79</v>
      </c>
      <c r="L163" s="15">
        <f ca="1">IFERROR(__xludf.DUMMYFUNCTION("GOOGLEFINANCE(A163,""low52"")"),106.32)</f>
        <v>106.32</v>
      </c>
      <c r="M163" s="7">
        <f t="shared" ca="1" si="0"/>
        <v>45379.717931597224</v>
      </c>
    </row>
    <row r="164" spans="1:13">
      <c r="A164" s="4" t="s">
        <v>175</v>
      </c>
      <c r="B164" s="5" t="str">
        <f ca="1">IFERROR(__xludf.DUMMYFUNCTION("GoogleFinance(A164, ""name"")"),"EPAM Systems Inc")</f>
        <v>EPAM Systems Inc</v>
      </c>
      <c r="C164" s="15">
        <f ca="1">IFERROR(__xludf.DUMMYFUNCTION("GoogleFinance(A164, ""price"")"),276.16)</f>
        <v>276.16000000000003</v>
      </c>
      <c r="D164" s="6">
        <f ca="1">IFERROR(__xludf.DUMMYFUNCTION("GoogleFinance(A164, ""eps"")"),7.06)</f>
        <v>7.06</v>
      </c>
      <c r="E164" s="6">
        <f ca="1">IFERROR(__xludf.DUMMYFUNCTION("GOOGLEFINANCE(A164,""pe"")"),39.12)</f>
        <v>39.119999999999997</v>
      </c>
      <c r="F164" s="6">
        <f ca="1">IFERROR(__xludf.DUMMYFUNCTION("GoogleFinance(A164, ""beta"")"),1.45)</f>
        <v>1.45</v>
      </c>
      <c r="G164" s="13">
        <f ca="1">IFERROR(__xludf.DUMMYFUNCTION("GOOGLEFINANCE(A164,""shares"")"),57827000)</f>
        <v>57827000</v>
      </c>
      <c r="H164" s="10">
        <f ca="1">IFERROR(__xludf.DUMMYFUNCTION("GOOGLEFINANCE(A164,""marketcap"")"),15969645373)</f>
        <v>15969645373</v>
      </c>
      <c r="I164" s="13">
        <f ca="1">IFERROR(__xludf.DUMMYFUNCTION("GOOGLEFINANCE(A164,""volume"")"),405228)</f>
        <v>405228</v>
      </c>
      <c r="J164" s="13">
        <f ca="1">IFERROR(__xludf.DUMMYFUNCTION("GOOGLEFINANCE(A164,""volumeavg"")"),574851)</f>
        <v>574851</v>
      </c>
      <c r="K164" s="15">
        <f ca="1">IFERROR(__xludf.DUMMYFUNCTION("GOOGLEFINANCE(A164,""high52"")"),317.5)</f>
        <v>317.5</v>
      </c>
      <c r="L164" s="15">
        <f ca="1">IFERROR(__xludf.DUMMYFUNCTION("GOOGLEFINANCE(A164,""low52"")"),197.99)</f>
        <v>197.99</v>
      </c>
      <c r="M164" s="7">
        <f t="shared" ca="1" si="0"/>
        <v>45379.717931597224</v>
      </c>
    </row>
    <row r="165" spans="1:13">
      <c r="A165" s="4" t="s">
        <v>176</v>
      </c>
      <c r="B165" s="5" t="str">
        <f ca="1">IFERROR(__xludf.DUMMYFUNCTION("GoogleFinance(A165, ""name"")"),"Equinix Inc")</f>
        <v>Equinix Inc</v>
      </c>
      <c r="C165" s="15">
        <f ca="1">IFERROR(__xludf.DUMMYFUNCTION("GoogleFinance(A165, ""price"")"),825.33)</f>
        <v>825.33</v>
      </c>
      <c r="D165" s="6">
        <f ca="1">IFERROR(__xludf.DUMMYFUNCTION("GoogleFinance(A165, ""eps"")"),10.31)</f>
        <v>10.31</v>
      </c>
      <c r="E165" s="6">
        <f ca="1">IFERROR(__xludf.DUMMYFUNCTION("GOOGLEFINANCE(A165,""pe"")"),80.06)</f>
        <v>80.06</v>
      </c>
      <c r="F165" s="6">
        <f ca="1">IFERROR(__xludf.DUMMYFUNCTION("GoogleFinance(A165, ""beta"")"),0.6)</f>
        <v>0.6</v>
      </c>
      <c r="G165" s="13">
        <f ca="1">IFERROR(__xludf.DUMMYFUNCTION("GOOGLEFINANCE(A165,""shares"")"),94621000)</f>
        <v>94621000</v>
      </c>
      <c r="H165" s="10">
        <f ca="1">IFERROR(__xludf.DUMMYFUNCTION("GOOGLEFINANCE(A165,""marketcap"")"),78093914692)</f>
        <v>78093914692</v>
      </c>
      <c r="I165" s="13">
        <f ca="1">IFERROR(__xludf.DUMMYFUNCTION("GOOGLEFINANCE(A165,""volume"")"),789170)</f>
        <v>789170</v>
      </c>
      <c r="J165" s="13">
        <f ca="1">IFERROR(__xludf.DUMMYFUNCTION("GOOGLEFINANCE(A165,""volumeavg"")"),708572)</f>
        <v>708572</v>
      </c>
      <c r="K165" s="15">
        <f ca="1">IFERROR(__xludf.DUMMYFUNCTION("GOOGLEFINANCE(A165,""high52"")"),914.93)</f>
        <v>914.93</v>
      </c>
      <c r="L165" s="15">
        <f ca="1">IFERROR(__xludf.DUMMYFUNCTION("GOOGLEFINANCE(A165,""low52"")"),672.88)</f>
        <v>672.88</v>
      </c>
      <c r="M165" s="7">
        <f t="shared" ca="1" si="0"/>
        <v>45379.717931597224</v>
      </c>
    </row>
    <row r="166" spans="1:13">
      <c r="A166" s="4" t="s">
        <v>177</v>
      </c>
      <c r="B166" s="5" t="str">
        <f ca="1">IFERROR(__xludf.DUMMYFUNCTION("GoogleFinance(A166, ""name"")"),"Equity Residential")</f>
        <v>Equity Residential</v>
      </c>
      <c r="C166" s="15">
        <f ca="1">IFERROR(__xludf.DUMMYFUNCTION("GoogleFinance(A166, ""price"")"),63.11)</f>
        <v>63.11</v>
      </c>
      <c r="D166" s="6">
        <f ca="1">IFERROR(__xludf.DUMMYFUNCTION("GoogleFinance(A166, ""eps"")"),2.2)</f>
        <v>2.2000000000000002</v>
      </c>
      <c r="E166" s="6">
        <f ca="1">IFERROR(__xludf.DUMMYFUNCTION("GOOGLEFINANCE(A166,""pe"")"),28.72)</f>
        <v>28.72</v>
      </c>
      <c r="F166" s="6">
        <f ca="1">IFERROR(__xludf.DUMMYFUNCTION("GoogleFinance(A166, ""beta"")"),0.83)</f>
        <v>0.83</v>
      </c>
      <c r="G166" s="13">
        <f ca="1">IFERROR(__xludf.DUMMYFUNCTION("GOOGLEFINANCE(A166,""shares"")"),379554000)</f>
        <v>379554000</v>
      </c>
      <c r="H166" s="10">
        <f ca="1">IFERROR(__xludf.DUMMYFUNCTION("GOOGLEFINANCE(A166,""marketcap"")"),23953627927)</f>
        <v>23953627927</v>
      </c>
      <c r="I166" s="13">
        <f ca="1">IFERROR(__xludf.DUMMYFUNCTION("GOOGLEFINANCE(A166,""volume"")"),2133757)</f>
        <v>2133757</v>
      </c>
      <c r="J166" s="13">
        <f ca="1">IFERROR(__xludf.DUMMYFUNCTION("GOOGLEFINANCE(A166,""volumeavg"")"),1937584)</f>
        <v>1937584</v>
      </c>
      <c r="K166" s="15">
        <f ca="1">IFERROR(__xludf.DUMMYFUNCTION("GOOGLEFINANCE(A166,""high52"")"),69.45)</f>
        <v>69.45</v>
      </c>
      <c r="L166" s="15">
        <f ca="1">IFERROR(__xludf.DUMMYFUNCTION("GOOGLEFINANCE(A166,""low52"")"),52.57)</f>
        <v>52.57</v>
      </c>
      <c r="M166" s="7">
        <f t="shared" ca="1" si="0"/>
        <v>45379.717931597224</v>
      </c>
    </row>
    <row r="167" spans="1:13">
      <c r="A167" s="4" t="s">
        <v>178</v>
      </c>
      <c r="B167" s="5" t="str">
        <f ca="1">IFERROR(__xludf.DUMMYFUNCTION("GoogleFinance(A167, ""name"")"),"EQT Corp")</f>
        <v>EQT Corp</v>
      </c>
      <c r="C167" s="15">
        <f ca="1">IFERROR(__xludf.DUMMYFUNCTION("GoogleFinance(A167, ""price"")"),37.07)</f>
        <v>37.07</v>
      </c>
      <c r="D167" s="6">
        <f ca="1">IFERROR(__xludf.DUMMYFUNCTION("GoogleFinance(A167, ""eps"")"),4.2)</f>
        <v>4.2</v>
      </c>
      <c r="E167" s="6">
        <f ca="1">IFERROR(__xludf.DUMMYFUNCTION("GOOGLEFINANCE(A167,""pe"")"),8.83)</f>
        <v>8.83</v>
      </c>
      <c r="F167" s="6">
        <f ca="1">IFERROR(__xludf.DUMMYFUNCTION("GoogleFinance(A167, ""beta"")"),1.13)</f>
        <v>1.1299999999999999</v>
      </c>
      <c r="G167" s="13">
        <f ca="1">IFERROR(__xludf.DUMMYFUNCTION("GOOGLEFINANCE(A167,""shares"")"),440721000)</f>
        <v>440721000</v>
      </c>
      <c r="H167" s="10">
        <f ca="1">IFERROR(__xludf.DUMMYFUNCTION("GOOGLEFINANCE(A167,""marketcap"")"),16337519921)</f>
        <v>16337519921</v>
      </c>
      <c r="I167" s="13">
        <f ca="1">IFERROR(__xludf.DUMMYFUNCTION("GOOGLEFINANCE(A167,""volume"")"),9857437)</f>
        <v>9857437</v>
      </c>
      <c r="J167" s="13">
        <f ca="1">IFERROR(__xludf.DUMMYFUNCTION("GOOGLEFINANCE(A167,""volumeavg"")"),8050552)</f>
        <v>8050552</v>
      </c>
      <c r="K167" s="15">
        <f ca="1">IFERROR(__xludf.DUMMYFUNCTION("GOOGLEFINANCE(A167,""high52"")"),45.23)</f>
        <v>45.23</v>
      </c>
      <c r="L167" s="15">
        <f ca="1">IFERROR(__xludf.DUMMYFUNCTION("GOOGLEFINANCE(A167,""low52"")"),30.79)</f>
        <v>30.79</v>
      </c>
      <c r="M167" s="7">
        <f t="shared" ca="1" si="0"/>
        <v>45379.717931597224</v>
      </c>
    </row>
    <row r="168" spans="1:13">
      <c r="A168" s="4" t="s">
        <v>179</v>
      </c>
      <c r="B168" s="5" t="str">
        <f ca="1">IFERROR(__xludf.DUMMYFUNCTION("GoogleFinance(A168, ""name"")"),"Eversource Energy")</f>
        <v>Eversource Energy</v>
      </c>
      <c r="C168" s="15">
        <f ca="1">IFERROR(__xludf.DUMMYFUNCTION("GoogleFinance(A168, ""price"")"),59.77)</f>
        <v>59.77</v>
      </c>
      <c r="D168" s="6">
        <f ca="1">IFERROR(__xludf.DUMMYFUNCTION("GoogleFinance(A168, ""eps"")"),-1.27)</f>
        <v>-1.27</v>
      </c>
      <c r="E168" s="6" t="str">
        <f ca="1">IFERROR(__xludf.DUMMYFUNCTION("GOOGLEFINANCE(A168,""pe"")"),"#N/A")</f>
        <v>#N/A</v>
      </c>
      <c r="F168" s="6">
        <f ca="1">IFERROR(__xludf.DUMMYFUNCTION("GoogleFinance(A168, ""beta"")"),0.58)</f>
        <v>0.57999999999999996</v>
      </c>
      <c r="G168" s="13">
        <f ca="1">IFERROR(__xludf.DUMMYFUNCTION("GOOGLEFINANCE(A168,""shares"")"),349687000)</f>
        <v>349687000</v>
      </c>
      <c r="H168" s="10">
        <f ca="1">IFERROR(__xludf.DUMMYFUNCTION("GOOGLEFINANCE(A168,""marketcap"")"),20962940996)</f>
        <v>20962940996</v>
      </c>
      <c r="I168" s="13">
        <f ca="1">IFERROR(__xludf.DUMMYFUNCTION("GOOGLEFINANCE(A168,""volume"")"),1921036)</f>
        <v>1921036</v>
      </c>
      <c r="J168" s="13">
        <f ca="1">IFERROR(__xludf.DUMMYFUNCTION("GOOGLEFINANCE(A168,""volumeavg"")"),3160764)</f>
        <v>3160764</v>
      </c>
      <c r="K168" s="15">
        <f ca="1">IFERROR(__xludf.DUMMYFUNCTION("GOOGLEFINANCE(A168,""high52"")"),81.36)</f>
        <v>81.36</v>
      </c>
      <c r="L168" s="15">
        <f ca="1">IFERROR(__xludf.DUMMYFUNCTION("GOOGLEFINANCE(A168,""low52"")"),52.03)</f>
        <v>52.03</v>
      </c>
      <c r="M168" s="7">
        <f t="shared" ca="1" si="0"/>
        <v>45379.717931597224</v>
      </c>
    </row>
    <row r="169" spans="1:13">
      <c r="A169" s="4" t="s">
        <v>180</v>
      </c>
      <c r="B169" s="5" t="str">
        <f ca="1">IFERROR(__xludf.DUMMYFUNCTION("GoogleFinance(A169, ""name"")"),"Essex Property Trust Inc")</f>
        <v>Essex Property Trust Inc</v>
      </c>
      <c r="C169" s="15">
        <f ca="1">IFERROR(__xludf.DUMMYFUNCTION("GoogleFinance(A169, ""price"")"),244.81)</f>
        <v>244.81</v>
      </c>
      <c r="D169" s="6">
        <f ca="1">IFERROR(__xludf.DUMMYFUNCTION("GoogleFinance(A169, ""eps"")"),6.32)</f>
        <v>6.32</v>
      </c>
      <c r="E169" s="6">
        <f ca="1">IFERROR(__xludf.DUMMYFUNCTION("GOOGLEFINANCE(A169,""pe"")"),38.76)</f>
        <v>38.76</v>
      </c>
      <c r="F169" s="6">
        <f ca="1">IFERROR(__xludf.DUMMYFUNCTION("GoogleFinance(A169, ""beta"")"),0.78)</f>
        <v>0.78</v>
      </c>
      <c r="G169" s="13">
        <f ca="1">IFERROR(__xludf.DUMMYFUNCTION("GOOGLEFINANCE(A169,""shares"")"),64203000)</f>
        <v>64203000</v>
      </c>
      <c r="H169" s="10">
        <f ca="1">IFERROR(__xludf.DUMMYFUNCTION("GOOGLEFINANCE(A169,""marketcap"")"),15717661126)</f>
        <v>15717661126</v>
      </c>
      <c r="I169" s="13">
        <f ca="1">IFERROR(__xludf.DUMMYFUNCTION("GOOGLEFINANCE(A169,""volume"")"),350005)</f>
        <v>350005</v>
      </c>
      <c r="J169" s="13">
        <f ca="1">IFERROR(__xludf.DUMMYFUNCTION("GOOGLEFINANCE(A169,""volumeavg"")"),415126)</f>
        <v>415126</v>
      </c>
      <c r="K169" s="15">
        <f ca="1">IFERROR(__xludf.DUMMYFUNCTION("GOOGLEFINANCE(A169,""high52"")"),252.85)</f>
        <v>252.85</v>
      </c>
      <c r="L169" s="15">
        <f ca="1">IFERROR(__xludf.DUMMYFUNCTION("GOOGLEFINANCE(A169,""low52"")"),201.67)</f>
        <v>201.67</v>
      </c>
      <c r="M169" s="7">
        <f t="shared" ca="1" si="0"/>
        <v>45379.717931597224</v>
      </c>
    </row>
    <row r="170" spans="1:13">
      <c r="A170" s="4" t="s">
        <v>181</v>
      </c>
      <c r="B170" s="5" t="str">
        <f ca="1">IFERROR(__xludf.DUMMYFUNCTION("GoogleFinance(A170, ""name"")"),"Eaton Corporation PLC")</f>
        <v>Eaton Corporation PLC</v>
      </c>
      <c r="C170" s="15">
        <f ca="1">IFERROR(__xludf.DUMMYFUNCTION("GoogleFinance(A170, ""price"")"),312.68)</f>
        <v>312.68</v>
      </c>
      <c r="D170" s="6">
        <f ca="1">IFERROR(__xludf.DUMMYFUNCTION("GoogleFinance(A170, ""eps"")"),8.02)</f>
        <v>8.02</v>
      </c>
      <c r="E170" s="6">
        <f ca="1">IFERROR(__xludf.DUMMYFUNCTION("GOOGLEFINANCE(A170,""pe"")"),38.97)</f>
        <v>38.97</v>
      </c>
      <c r="F170" s="6">
        <f ca="1">IFERROR(__xludf.DUMMYFUNCTION("GoogleFinance(A170, ""beta"")"),1.07)</f>
        <v>1.07</v>
      </c>
      <c r="G170" s="13">
        <f ca="1">IFERROR(__xludf.DUMMYFUNCTION("GOOGLEFINANCE(A170,""shares"")"),399500000)</f>
        <v>399500000</v>
      </c>
      <c r="H170" s="10">
        <f ca="1">IFERROR(__xludf.DUMMYFUNCTION("GOOGLEFINANCE(A170,""marketcap"")"),125038258899)</f>
        <v>125038258899</v>
      </c>
      <c r="I170" s="13">
        <f ca="1">IFERROR(__xludf.DUMMYFUNCTION("GOOGLEFINANCE(A170,""volume"")"),1983529)</f>
        <v>1983529</v>
      </c>
      <c r="J170" s="13">
        <f ca="1">IFERROR(__xludf.DUMMYFUNCTION("GOOGLEFINANCE(A170,""volumeavg"")"),1870843)</f>
        <v>1870843</v>
      </c>
      <c r="K170" s="15">
        <f ca="1">IFERROR(__xludf.DUMMYFUNCTION("GOOGLEFINANCE(A170,""high52"")"),317.02)</f>
        <v>317.02</v>
      </c>
      <c r="L170" s="15">
        <f ca="1">IFERROR(__xludf.DUMMYFUNCTION("GOOGLEFINANCE(A170,""low52"")"),155.38)</f>
        <v>155.38</v>
      </c>
      <c r="M170" s="7">
        <f t="shared" ca="1" si="0"/>
        <v>45379.717931597224</v>
      </c>
    </row>
    <row r="171" spans="1:13">
      <c r="A171" s="4" t="s">
        <v>182</v>
      </c>
      <c r="B171" s="5" t="str">
        <f ca="1">IFERROR(__xludf.DUMMYFUNCTION("GoogleFinance(A171, ""name"")"),"Entergy Corp")</f>
        <v>Entergy Corp</v>
      </c>
      <c r="C171" s="15">
        <f ca="1">IFERROR(__xludf.DUMMYFUNCTION("GoogleFinance(A171, ""price"")"),105.68)</f>
        <v>105.68</v>
      </c>
      <c r="D171" s="6">
        <f ca="1">IFERROR(__xludf.DUMMYFUNCTION("GoogleFinance(A171, ""eps"")"),11.1)</f>
        <v>11.1</v>
      </c>
      <c r="E171" s="6">
        <f ca="1">IFERROR(__xludf.DUMMYFUNCTION("GOOGLEFINANCE(A171,""pe"")"),9.52)</f>
        <v>9.52</v>
      </c>
      <c r="F171" s="6">
        <f ca="1">IFERROR(__xludf.DUMMYFUNCTION("GoogleFinance(A171, ""beta"")"),0.7)</f>
        <v>0.7</v>
      </c>
      <c r="G171" s="13">
        <f ca="1">IFERROR(__xludf.DUMMYFUNCTION("GOOGLEFINANCE(A171,""shares"")"),213238000)</f>
        <v>213238000</v>
      </c>
      <c r="H171" s="10">
        <f ca="1">IFERROR(__xludf.DUMMYFUNCTION("GOOGLEFINANCE(A171,""marketcap"")"),22535509737)</f>
        <v>22535509737</v>
      </c>
      <c r="I171" s="13">
        <f ca="1">IFERROR(__xludf.DUMMYFUNCTION("GOOGLEFINANCE(A171,""volume"")"),1007163)</f>
        <v>1007163</v>
      </c>
      <c r="J171" s="13">
        <f ca="1">IFERROR(__xludf.DUMMYFUNCTION("GOOGLEFINANCE(A171,""volumeavg"")"),1339991)</f>
        <v>1339991</v>
      </c>
      <c r="K171" s="15">
        <f ca="1">IFERROR(__xludf.DUMMYFUNCTION("GOOGLEFINANCE(A171,""high52"")"),111.9)</f>
        <v>111.9</v>
      </c>
      <c r="L171" s="15">
        <f ca="1">IFERROR(__xludf.DUMMYFUNCTION("GOOGLEFINANCE(A171,""low52"")"),87.1)</f>
        <v>87.1</v>
      </c>
      <c r="M171" s="7">
        <f t="shared" ca="1" si="0"/>
        <v>45379.717931597224</v>
      </c>
    </row>
    <row r="172" spans="1:13">
      <c r="A172" s="4" t="s">
        <v>183</v>
      </c>
      <c r="B172" s="5" t="str">
        <f ca="1">IFERROR(__xludf.DUMMYFUNCTION("GoogleFinance(A172, ""name"")"),"Etsy Inc")</f>
        <v>Etsy Inc</v>
      </c>
      <c r="C172" s="15">
        <f ca="1">IFERROR(__xludf.DUMMYFUNCTION("GoogleFinance(A172, ""price"")"),68.72)</f>
        <v>68.72</v>
      </c>
      <c r="D172" s="6">
        <f ca="1">IFERROR(__xludf.DUMMYFUNCTION("GoogleFinance(A172, ""eps"")"),2.26)</f>
        <v>2.2599999999999998</v>
      </c>
      <c r="E172" s="6">
        <f ca="1">IFERROR(__xludf.DUMMYFUNCTION("GOOGLEFINANCE(A172,""pe"")"),30.38)</f>
        <v>30.38</v>
      </c>
      <c r="F172" s="6">
        <f ca="1">IFERROR(__xludf.DUMMYFUNCTION("GoogleFinance(A172, ""beta"")"),2.02)</f>
        <v>2.02</v>
      </c>
      <c r="G172" s="13">
        <f ca="1">IFERROR(__xludf.DUMMYFUNCTION("GOOGLEFINANCE(A172,""shares"")"),118492000)</f>
        <v>118492000</v>
      </c>
      <c r="H172" s="10">
        <f ca="1">IFERROR(__xludf.DUMMYFUNCTION("GOOGLEFINANCE(A172,""marketcap"")"),8142797872)</f>
        <v>8142797872</v>
      </c>
      <c r="I172" s="13">
        <f ca="1">IFERROR(__xludf.DUMMYFUNCTION("GOOGLEFINANCE(A172,""volume"")"),2244383)</f>
        <v>2244383</v>
      </c>
      <c r="J172" s="13">
        <f ca="1">IFERROR(__xludf.DUMMYFUNCTION("GOOGLEFINANCE(A172,""volumeavg"")"),3952999)</f>
        <v>3952999</v>
      </c>
      <c r="K172" s="15">
        <f ca="1">IFERROR(__xludf.DUMMYFUNCTION("GOOGLEFINANCE(A172,""high52"")"),114.73)</f>
        <v>114.73</v>
      </c>
      <c r="L172" s="15">
        <f ca="1">IFERROR(__xludf.DUMMYFUNCTION("GOOGLEFINANCE(A172,""low52"")"),58.2)</f>
        <v>58.2</v>
      </c>
      <c r="M172" s="7">
        <f t="shared" ca="1" si="0"/>
        <v>45379.717931597224</v>
      </c>
    </row>
    <row r="173" spans="1:13">
      <c r="A173" s="4" t="s">
        <v>184</v>
      </c>
      <c r="B173" s="5" t="str">
        <f ca="1">IFERROR(__xludf.DUMMYFUNCTION("GoogleFinance(A173, ""name"")"),"Evergy Inc")</f>
        <v>Evergy Inc</v>
      </c>
      <c r="C173" s="15">
        <f ca="1">IFERROR(__xludf.DUMMYFUNCTION("GoogleFinance(A173, ""price"")"),53.38)</f>
        <v>53.38</v>
      </c>
      <c r="D173" s="6">
        <f ca="1">IFERROR(__xludf.DUMMYFUNCTION("GoogleFinance(A173, ""eps"")"),3.17)</f>
        <v>3.17</v>
      </c>
      <c r="E173" s="6">
        <f ca="1">IFERROR(__xludf.DUMMYFUNCTION("GOOGLEFINANCE(A173,""pe"")"),16.82)</f>
        <v>16.82</v>
      </c>
      <c r="F173" s="6">
        <f ca="1">IFERROR(__xludf.DUMMYFUNCTION("GoogleFinance(A173, ""beta"")"),0.56)</f>
        <v>0.56000000000000005</v>
      </c>
      <c r="G173" s="13">
        <f ca="1">IFERROR(__xludf.DUMMYFUNCTION("GOOGLEFINANCE(A173,""shares"")"),229730000)</f>
        <v>229730000</v>
      </c>
      <c r="H173" s="10">
        <f ca="1">IFERROR(__xludf.DUMMYFUNCTION("GOOGLEFINANCE(A173,""marketcap"")"),12262998321)</f>
        <v>12262998321</v>
      </c>
      <c r="I173" s="13">
        <f ca="1">IFERROR(__xludf.DUMMYFUNCTION("GOOGLEFINANCE(A173,""volume"")"),2158365)</f>
        <v>2158365</v>
      </c>
      <c r="J173" s="13">
        <f ca="1">IFERROR(__xludf.DUMMYFUNCTION("GOOGLEFINANCE(A173,""volumeavg"")"),2549549)</f>
        <v>2549549</v>
      </c>
      <c r="K173" s="15">
        <f ca="1">IFERROR(__xludf.DUMMYFUNCTION("GOOGLEFINANCE(A173,""high52"")"),63.93)</f>
        <v>63.93</v>
      </c>
      <c r="L173" s="15">
        <f ca="1">IFERROR(__xludf.DUMMYFUNCTION("GOOGLEFINANCE(A173,""low52"")"),46.92)</f>
        <v>46.92</v>
      </c>
      <c r="M173" s="7">
        <f t="shared" ca="1" si="0"/>
        <v>45379.717931597224</v>
      </c>
    </row>
    <row r="174" spans="1:13">
      <c r="A174" s="4" t="s">
        <v>185</v>
      </c>
      <c r="B174" s="5" t="str">
        <f ca="1">IFERROR(__xludf.DUMMYFUNCTION("GoogleFinance(A174, ""name"")"),"Edwards Lifesciences Corp")</f>
        <v>Edwards Lifesciences Corp</v>
      </c>
      <c r="C174" s="15">
        <f ca="1">IFERROR(__xludf.DUMMYFUNCTION("GoogleFinance(A174, ""price"")"),95.56)</f>
        <v>95.56</v>
      </c>
      <c r="D174" s="6">
        <f ca="1">IFERROR(__xludf.DUMMYFUNCTION("GoogleFinance(A174, ""eps"")"),2.3)</f>
        <v>2.2999999999999998</v>
      </c>
      <c r="E174" s="6">
        <f ca="1">IFERROR(__xludf.DUMMYFUNCTION("GOOGLEFINANCE(A174,""pe"")"),41.52)</f>
        <v>41.52</v>
      </c>
      <c r="F174" s="6">
        <f ca="1">IFERROR(__xludf.DUMMYFUNCTION("GoogleFinance(A174, ""beta"")"),1.05)</f>
        <v>1.05</v>
      </c>
      <c r="G174" s="13">
        <f ca="1">IFERROR(__xludf.DUMMYFUNCTION("GOOGLEFINANCE(A174,""shares"")"),601300000)</f>
        <v>601300000</v>
      </c>
      <c r="H174" s="10">
        <f ca="1">IFERROR(__xludf.DUMMYFUNCTION("GOOGLEFINANCE(A174,""marketcap"")"),57460226531)</f>
        <v>57460226531</v>
      </c>
      <c r="I174" s="13">
        <f ca="1">IFERROR(__xludf.DUMMYFUNCTION("GOOGLEFINANCE(A174,""volume"")"),4007477)</f>
        <v>4007477</v>
      </c>
      <c r="J174" s="13">
        <f ca="1">IFERROR(__xludf.DUMMYFUNCTION("GOOGLEFINANCE(A174,""volumeavg"")"),3734132)</f>
        <v>3734132</v>
      </c>
      <c r="K174" s="15">
        <f ca="1">IFERROR(__xludf.DUMMYFUNCTION("GOOGLEFINANCE(A174,""high52"")"),96.12)</f>
        <v>96.12</v>
      </c>
      <c r="L174" s="15">
        <f ca="1">IFERROR(__xludf.DUMMYFUNCTION("GOOGLEFINANCE(A174,""low52"")"),60.57)</f>
        <v>60.57</v>
      </c>
      <c r="M174" s="7">
        <f t="shared" ca="1" si="0"/>
        <v>45379.717931597224</v>
      </c>
    </row>
    <row r="175" spans="1:13">
      <c r="A175" s="4" t="s">
        <v>186</v>
      </c>
      <c r="B175" s="5" t="str">
        <f ca="1">IFERROR(__xludf.DUMMYFUNCTION("GoogleFinance(A175, ""name"")"),"Exelon Corp")</f>
        <v>Exelon Corp</v>
      </c>
      <c r="C175" s="15">
        <f ca="1">IFERROR(__xludf.DUMMYFUNCTION("GoogleFinance(A175, ""price"")"),37.57)</f>
        <v>37.57</v>
      </c>
      <c r="D175" s="6">
        <f ca="1">IFERROR(__xludf.DUMMYFUNCTION("GoogleFinance(A175, ""eps"")"),2.34)</f>
        <v>2.34</v>
      </c>
      <c r="E175" s="6">
        <f ca="1">IFERROR(__xludf.DUMMYFUNCTION("GOOGLEFINANCE(A175,""pe"")"),16.09)</f>
        <v>16.09</v>
      </c>
      <c r="F175" s="6">
        <f ca="1">IFERROR(__xludf.DUMMYFUNCTION("GoogleFinance(A175, ""beta"")"),0.53)</f>
        <v>0.53</v>
      </c>
      <c r="G175" s="13">
        <f ca="1">IFERROR(__xludf.DUMMYFUNCTION("GOOGLEFINANCE(A175,""shares"")"),999735000)</f>
        <v>999735000</v>
      </c>
      <c r="H175" s="10">
        <f ca="1">IFERROR(__xludf.DUMMYFUNCTION("GOOGLEFINANCE(A175,""marketcap"")"),37560047401)</f>
        <v>37560047401</v>
      </c>
      <c r="I175" s="13">
        <f ca="1">IFERROR(__xludf.DUMMYFUNCTION("GOOGLEFINANCE(A175,""volume"")"),5855367)</f>
        <v>5855367</v>
      </c>
      <c r="J175" s="13">
        <f ca="1">IFERROR(__xludf.DUMMYFUNCTION("GOOGLEFINANCE(A175,""volumeavg"")"),7454389)</f>
        <v>7454389</v>
      </c>
      <c r="K175" s="15">
        <f ca="1">IFERROR(__xludf.DUMMYFUNCTION("GOOGLEFINANCE(A175,""high52"")"),43.71)</f>
        <v>43.71</v>
      </c>
      <c r="L175" s="15">
        <f ca="1">IFERROR(__xludf.DUMMYFUNCTION("GOOGLEFINANCE(A175,""low52"")"),33.35)</f>
        <v>33.35</v>
      </c>
      <c r="M175" s="7">
        <f t="shared" ca="1" si="0"/>
        <v>45379.717931597224</v>
      </c>
    </row>
    <row r="176" spans="1:13">
      <c r="A176" s="4" t="s">
        <v>187</v>
      </c>
      <c r="B176" s="5" t="str">
        <f ca="1">IFERROR(__xludf.DUMMYFUNCTION("GoogleFinance(A176, ""name"")"),"Expeditors International of Washngtn Inc")</f>
        <v>Expeditors International of Washngtn Inc</v>
      </c>
      <c r="C176" s="15">
        <f ca="1">IFERROR(__xludf.DUMMYFUNCTION("GoogleFinance(A176, ""price"")"),121.57)</f>
        <v>121.57</v>
      </c>
      <c r="D176" s="6">
        <f ca="1">IFERROR(__xludf.DUMMYFUNCTION("GoogleFinance(A176, ""eps"")"),5.29)</f>
        <v>5.29</v>
      </c>
      <c r="E176" s="6">
        <f ca="1">IFERROR(__xludf.DUMMYFUNCTION("GOOGLEFINANCE(A176,""pe"")"),22.2)</f>
        <v>22.2</v>
      </c>
      <c r="F176" s="6">
        <f ca="1">IFERROR(__xludf.DUMMYFUNCTION("GoogleFinance(A176, ""beta"")"),1.01)</f>
        <v>1.01</v>
      </c>
      <c r="G176" s="13">
        <f ca="1">IFERROR(__xludf.DUMMYFUNCTION("GOOGLEFINANCE(A176,""shares"")"),145389000)</f>
        <v>145389000</v>
      </c>
      <c r="H176" s="10">
        <f ca="1">IFERROR(__xludf.DUMMYFUNCTION("GOOGLEFINANCE(A176,""marketcap"")"),17493825700)</f>
        <v>17493825700</v>
      </c>
      <c r="I176" s="13">
        <f ca="1">IFERROR(__xludf.DUMMYFUNCTION("GOOGLEFINANCE(A176,""volume"")"),797547)</f>
        <v>797547</v>
      </c>
      <c r="J176" s="13">
        <f ca="1">IFERROR(__xludf.DUMMYFUNCTION("GOOGLEFINANCE(A176,""volumeavg"")"),1291155)</f>
        <v>1291155</v>
      </c>
      <c r="K176" s="15">
        <f ca="1">IFERROR(__xludf.DUMMYFUNCTION("GOOGLEFINANCE(A176,""high52"")"),131.17)</f>
        <v>131.16999999999999</v>
      </c>
      <c r="L176" s="15">
        <f ca="1">IFERROR(__xludf.DUMMYFUNCTION("GOOGLEFINANCE(A176,""low52"")"),104.68)</f>
        <v>104.68</v>
      </c>
      <c r="M176" s="7">
        <f t="shared" ca="1" si="0"/>
        <v>45379.717931597224</v>
      </c>
    </row>
    <row r="177" spans="1:13">
      <c r="A177" s="4" t="s">
        <v>188</v>
      </c>
      <c r="B177" s="5" t="str">
        <f ca="1">IFERROR(__xludf.DUMMYFUNCTION("GoogleFinance(A177, ""name"")"),"Expedia Group Inc")</f>
        <v>Expedia Group Inc</v>
      </c>
      <c r="C177" s="15">
        <f ca="1">IFERROR(__xludf.DUMMYFUNCTION("GoogleFinance(A177, ""price"")"),137.75)</f>
        <v>137.75</v>
      </c>
      <c r="D177" s="6">
        <f ca="1">IFERROR(__xludf.DUMMYFUNCTION("GoogleFinance(A177, ""eps"")"),5.31)</f>
        <v>5.31</v>
      </c>
      <c r="E177" s="6">
        <f ca="1">IFERROR(__xludf.DUMMYFUNCTION("GOOGLEFINANCE(A177,""pe"")"),25.96)</f>
        <v>25.96</v>
      </c>
      <c r="F177" s="6">
        <f ca="1">IFERROR(__xludf.DUMMYFUNCTION("GoogleFinance(A177, ""beta"")"),1.86)</f>
        <v>1.86</v>
      </c>
      <c r="G177" s="13">
        <f ca="1">IFERROR(__xludf.DUMMYFUNCTION("GOOGLEFINANCE(A177,""shares"")"),130765000)</f>
        <v>130765000</v>
      </c>
      <c r="H177" s="10">
        <f ca="1">IFERROR(__xludf.DUMMYFUNCTION("GOOGLEFINANCE(A177,""marketcap"")"),18773727100)</f>
        <v>18773727100</v>
      </c>
      <c r="I177" s="13">
        <f ca="1">IFERROR(__xludf.DUMMYFUNCTION("GOOGLEFINANCE(A177,""volume"")"),2081472)</f>
        <v>2081472</v>
      </c>
      <c r="J177" s="13">
        <f ca="1">IFERROR(__xludf.DUMMYFUNCTION("GOOGLEFINANCE(A177,""volumeavg"")"),2215307)</f>
        <v>2215307</v>
      </c>
      <c r="K177" s="15">
        <f ca="1">IFERROR(__xludf.DUMMYFUNCTION("GOOGLEFINANCE(A177,""high52"")"),160.05)</f>
        <v>160.05000000000001</v>
      </c>
      <c r="L177" s="15">
        <f ca="1">IFERROR(__xludf.DUMMYFUNCTION("GOOGLEFINANCE(A177,""low52"")"),87.94)</f>
        <v>87.94</v>
      </c>
      <c r="M177" s="7">
        <f t="shared" ca="1" si="0"/>
        <v>45379.717931597224</v>
      </c>
    </row>
    <row r="178" spans="1:13">
      <c r="A178" s="4" t="s">
        <v>189</v>
      </c>
      <c r="B178" s="5" t="str">
        <f ca="1">IFERROR(__xludf.DUMMYFUNCTION("GoogleFinance(A178, ""name"")"),"Extra Space Storage Inc")</f>
        <v>Extra Space Storage Inc</v>
      </c>
      <c r="C178" s="15">
        <f ca="1">IFERROR(__xludf.DUMMYFUNCTION("GoogleFinance(A178, ""price"")"),147)</f>
        <v>147</v>
      </c>
      <c r="D178" s="6">
        <f ca="1">IFERROR(__xludf.DUMMYFUNCTION("GoogleFinance(A178, ""eps"")"),4.74)</f>
        <v>4.74</v>
      </c>
      <c r="E178" s="6">
        <f ca="1">IFERROR(__xludf.DUMMYFUNCTION("GOOGLEFINANCE(A178,""pe"")"),31.02)</f>
        <v>31.02</v>
      </c>
      <c r="F178" s="6">
        <f ca="1">IFERROR(__xludf.DUMMYFUNCTION("GoogleFinance(A178, ""beta"")"),0.74)</f>
        <v>0.74</v>
      </c>
      <c r="G178" s="13">
        <f ca="1">IFERROR(__xludf.DUMMYFUNCTION("GOOGLEFINANCE(A178,""shares"")"),211575000)</f>
        <v>211575000</v>
      </c>
      <c r="H178" s="10">
        <f ca="1">IFERROR(__xludf.DUMMYFUNCTION("GOOGLEFINANCE(A178,""marketcap"")"),31101451500)</f>
        <v>31101451500</v>
      </c>
      <c r="I178" s="13">
        <f ca="1">IFERROR(__xludf.DUMMYFUNCTION("GOOGLEFINANCE(A178,""volume"")"),1214485)</f>
        <v>1214485</v>
      </c>
      <c r="J178" s="13">
        <f ca="1">IFERROR(__xludf.DUMMYFUNCTION("GOOGLEFINANCE(A178,""volumeavg"")"),1253661)</f>
        <v>1253661</v>
      </c>
      <c r="K178" s="15">
        <f ca="1">IFERROR(__xludf.DUMMYFUNCTION("GOOGLEFINANCE(A178,""high52"")"),165.85)</f>
        <v>165.85</v>
      </c>
      <c r="L178" s="15">
        <f ca="1">IFERROR(__xludf.DUMMYFUNCTION("GOOGLEFINANCE(A178,""low52"")"),101.19)</f>
        <v>101.19</v>
      </c>
      <c r="M178" s="7">
        <f t="shared" ca="1" si="0"/>
        <v>45379.717931597224</v>
      </c>
    </row>
    <row r="179" spans="1:13">
      <c r="A179" s="4" t="s">
        <v>190</v>
      </c>
      <c r="B179" s="5" t="str">
        <f ca="1">IFERROR(__xludf.DUMMYFUNCTION("GoogleFinance(A179, ""name"")"),"Ford Motor Co")</f>
        <v>Ford Motor Co</v>
      </c>
      <c r="C179" s="15">
        <f ca="1">IFERROR(__xludf.DUMMYFUNCTION("GoogleFinance(A179, ""price"")"),13.28)</f>
        <v>13.28</v>
      </c>
      <c r="D179" s="6">
        <f ca="1">IFERROR(__xludf.DUMMYFUNCTION("GoogleFinance(A179, ""eps"")"),1.08)</f>
        <v>1.08</v>
      </c>
      <c r="E179" s="6">
        <f ca="1">IFERROR(__xludf.DUMMYFUNCTION("GOOGLEFINANCE(A179,""pe"")"),12.35)</f>
        <v>12.35</v>
      </c>
      <c r="F179" s="6">
        <f ca="1">IFERROR(__xludf.DUMMYFUNCTION("GoogleFinance(A179, ""beta"")"),1.62)</f>
        <v>1.62</v>
      </c>
      <c r="G179" s="13">
        <f ca="1">IFERROR(__xludf.DUMMYFUNCTION("GOOGLEFINANCE(A179,""shares"")"),3902781000)</f>
        <v>3902781000</v>
      </c>
      <c r="H179" s="10">
        <f ca="1">IFERROR(__xludf.DUMMYFUNCTION("GOOGLEFINANCE(A179,""marketcap"")"),52769845178)</f>
        <v>52769845178</v>
      </c>
      <c r="I179" s="13">
        <f ca="1">IFERROR(__xludf.DUMMYFUNCTION("GOOGLEFINANCE(A179,""volume"")"),61835113)</f>
        <v>61835113</v>
      </c>
      <c r="J179" s="13">
        <f ca="1">IFERROR(__xludf.DUMMYFUNCTION("GOOGLEFINANCE(A179,""volumeavg"")"),46400366)</f>
        <v>46400366</v>
      </c>
      <c r="K179" s="15">
        <f ca="1">IFERROR(__xludf.DUMMYFUNCTION("GOOGLEFINANCE(A179,""high52"")"),15.42)</f>
        <v>15.42</v>
      </c>
      <c r="L179" s="15">
        <f ca="1">IFERROR(__xludf.DUMMYFUNCTION("GOOGLEFINANCE(A179,""low52"")"),9.63)</f>
        <v>9.6300000000000008</v>
      </c>
      <c r="M179" s="7">
        <f t="shared" ca="1" si="0"/>
        <v>45379.717931597224</v>
      </c>
    </row>
    <row r="180" spans="1:13">
      <c r="A180" s="4" t="s">
        <v>191</v>
      </c>
      <c r="B180" s="5" t="str">
        <f ca="1">IFERROR(__xludf.DUMMYFUNCTION("GoogleFinance(A180, ""name"")"),"Diamondback Energy Inc")</f>
        <v>Diamondback Energy Inc</v>
      </c>
      <c r="C180" s="15">
        <f ca="1">IFERROR(__xludf.DUMMYFUNCTION("GoogleFinance(A180, ""price"")"),198.17)</f>
        <v>198.17</v>
      </c>
      <c r="D180" s="6">
        <f ca="1">IFERROR(__xludf.DUMMYFUNCTION("GoogleFinance(A180, ""eps"")"),17.34)</f>
        <v>17.34</v>
      </c>
      <c r="E180" s="6">
        <f ca="1">IFERROR(__xludf.DUMMYFUNCTION("GOOGLEFINANCE(A180,""pe"")"),11.43)</f>
        <v>11.43</v>
      </c>
      <c r="F180" s="6">
        <f ca="1">IFERROR(__xludf.DUMMYFUNCTION("GoogleFinance(A180, ""beta"")"),1.91)</f>
        <v>1.91</v>
      </c>
      <c r="G180" s="13">
        <f ca="1">IFERROR(__xludf.DUMMYFUNCTION("GOOGLEFINANCE(A180,""shares"")"),178447000)</f>
        <v>178447000</v>
      </c>
      <c r="H180" s="10">
        <f ca="1">IFERROR(__xludf.DUMMYFUNCTION("GOOGLEFINANCE(A180,""marketcap"")"),35362742578)</f>
        <v>35362742578</v>
      </c>
      <c r="I180" s="13">
        <f ca="1">IFERROR(__xludf.DUMMYFUNCTION("GOOGLEFINANCE(A180,""volume"")"),1052619)</f>
        <v>1052619</v>
      </c>
      <c r="J180" s="13">
        <f ca="1">IFERROR(__xludf.DUMMYFUNCTION("GOOGLEFINANCE(A180,""volumeavg"")"),1753247)</f>
        <v>1753247</v>
      </c>
      <c r="K180" s="15">
        <f ca="1">IFERROR(__xludf.DUMMYFUNCTION("GOOGLEFINANCE(A180,""high52"")"),198.53)</f>
        <v>198.53</v>
      </c>
      <c r="L180" s="15">
        <f ca="1">IFERROR(__xludf.DUMMYFUNCTION("GOOGLEFINANCE(A180,""low52"")"),123.41)</f>
        <v>123.41</v>
      </c>
      <c r="M180" s="7">
        <f t="shared" ca="1" si="0"/>
        <v>45379.717931597224</v>
      </c>
    </row>
    <row r="181" spans="1:13">
      <c r="A181" s="4" t="s">
        <v>192</v>
      </c>
      <c r="B181" s="5" t="str">
        <f ca="1">IFERROR(__xludf.DUMMYFUNCTION("GoogleFinance(A181, ""name"")"),"Fastenal Co")</f>
        <v>Fastenal Co</v>
      </c>
      <c r="C181" s="15">
        <f ca="1">IFERROR(__xludf.DUMMYFUNCTION("GoogleFinance(A181, ""price"")"),77.14)</f>
        <v>77.14</v>
      </c>
      <c r="D181" s="6">
        <f ca="1">IFERROR(__xludf.DUMMYFUNCTION("GoogleFinance(A181, ""eps"")"),2.02)</f>
        <v>2.02</v>
      </c>
      <c r="E181" s="6">
        <f ca="1">IFERROR(__xludf.DUMMYFUNCTION("GOOGLEFINANCE(A181,""pe"")"),38.27)</f>
        <v>38.270000000000003</v>
      </c>
      <c r="F181" s="6">
        <f ca="1">IFERROR(__xludf.DUMMYFUNCTION("GoogleFinance(A181, ""beta"")"),1.05)</f>
        <v>1.05</v>
      </c>
      <c r="G181" s="13">
        <f ca="1">IFERROR(__xludf.DUMMYFUNCTION("GOOGLEFINANCE(A181,""shares"")"),572427000)</f>
        <v>572427000</v>
      </c>
      <c r="H181" s="10">
        <f ca="1">IFERROR(__xludf.DUMMYFUNCTION("GOOGLEFINANCE(A181,""marketcap"")"),44156987574)</f>
        <v>44156987574</v>
      </c>
      <c r="I181" s="13">
        <f ca="1">IFERROR(__xludf.DUMMYFUNCTION("GOOGLEFINANCE(A181,""volume"")"),3016905)</f>
        <v>3016905</v>
      </c>
      <c r="J181" s="13">
        <f ca="1">IFERROR(__xludf.DUMMYFUNCTION("GOOGLEFINANCE(A181,""volumeavg"")"),3503040)</f>
        <v>3503040</v>
      </c>
      <c r="K181" s="15">
        <f ca="1">IFERROR(__xludf.DUMMYFUNCTION("GOOGLEFINANCE(A181,""high52"")"),79.04)</f>
        <v>79.040000000000006</v>
      </c>
      <c r="L181" s="15">
        <f ca="1">IFERROR(__xludf.DUMMYFUNCTION("GOOGLEFINANCE(A181,""low52"")"),50.3)</f>
        <v>50.3</v>
      </c>
      <c r="M181" s="7">
        <f t="shared" ca="1" si="0"/>
        <v>45379.717931597224</v>
      </c>
    </row>
    <row r="182" spans="1:13">
      <c r="A182" s="4" t="s">
        <v>193</v>
      </c>
      <c r="B182" s="5" t="str">
        <f ca="1">IFERROR(__xludf.DUMMYFUNCTION("GoogleFinance(A182, ""name"")"),"Freeport-McMoRan Inc")</f>
        <v>Freeport-McMoRan Inc</v>
      </c>
      <c r="C182" s="15">
        <f ca="1">IFERROR(__xludf.DUMMYFUNCTION("GoogleFinance(A182, ""price"")"),47.02)</f>
        <v>47.02</v>
      </c>
      <c r="D182" s="6">
        <f ca="1">IFERROR(__xludf.DUMMYFUNCTION("GoogleFinance(A182, ""eps"")"),1.28)</f>
        <v>1.28</v>
      </c>
      <c r="E182" s="6">
        <f ca="1">IFERROR(__xludf.DUMMYFUNCTION("GOOGLEFINANCE(A182,""pe"")"),36.83)</f>
        <v>36.83</v>
      </c>
      <c r="F182" s="6">
        <f ca="1">IFERROR(__xludf.DUMMYFUNCTION("GoogleFinance(A182, ""beta"")"),2.02)</f>
        <v>2.02</v>
      </c>
      <c r="G182" s="13">
        <f ca="1">IFERROR(__xludf.DUMMYFUNCTION("GOOGLEFINANCE(A182,""shares"")"),1434409000)</f>
        <v>1434409000</v>
      </c>
      <c r="H182" s="10">
        <f ca="1">IFERROR(__xludf.DUMMYFUNCTION("GOOGLEFINANCE(A182,""marketcap"")"),67445911836)</f>
        <v>67445911836</v>
      </c>
      <c r="I182" s="13">
        <f ca="1">IFERROR(__xludf.DUMMYFUNCTION("GOOGLEFINANCE(A182,""volume"")"),20168363)</f>
        <v>20168363</v>
      </c>
      <c r="J182" s="13">
        <f ca="1">IFERROR(__xludf.DUMMYFUNCTION("GOOGLEFINANCE(A182,""volumeavg"")"),12519947)</f>
        <v>12519947</v>
      </c>
      <c r="K182" s="15">
        <f ca="1">IFERROR(__xludf.DUMMYFUNCTION("GOOGLEFINANCE(A182,""high52"")"),47.19)</f>
        <v>47.19</v>
      </c>
      <c r="L182" s="15">
        <f ca="1">IFERROR(__xludf.DUMMYFUNCTION("GOOGLEFINANCE(A182,""low52"")"),32.83)</f>
        <v>32.83</v>
      </c>
      <c r="M182" s="7">
        <f t="shared" ca="1" si="0"/>
        <v>45379.717931597224</v>
      </c>
    </row>
    <row r="183" spans="1:13">
      <c r="A183" s="4" t="s">
        <v>194</v>
      </c>
      <c r="B183" s="5" t="str">
        <f ca="1">IFERROR(__xludf.DUMMYFUNCTION("GoogleFinance(A183, ""name"")"),"Factset Research Systems Inc")</f>
        <v>Factset Research Systems Inc</v>
      </c>
      <c r="C183" s="15">
        <f ca="1">IFERROR(__xludf.DUMMYFUNCTION("GoogleFinance(A183, ""price"")"),454.39)</f>
        <v>454.39</v>
      </c>
      <c r="D183" s="6">
        <f ca="1">IFERROR(__xludf.DUMMYFUNCTION("GoogleFinance(A183, ""eps"")"),12.36)</f>
        <v>12.36</v>
      </c>
      <c r="E183" s="6">
        <f ca="1">IFERROR(__xludf.DUMMYFUNCTION("GOOGLEFINANCE(A183,""pe"")"),36.76)</f>
        <v>36.76</v>
      </c>
      <c r="F183" s="6">
        <f ca="1">IFERROR(__xludf.DUMMYFUNCTION("GoogleFinance(A183, ""beta"")"),0.73)</f>
        <v>0.73</v>
      </c>
      <c r="G183" s="13">
        <f ca="1">IFERROR(__xludf.DUMMYFUNCTION("GOOGLEFINANCE(A183,""shares"")"),38086000)</f>
        <v>38086000</v>
      </c>
      <c r="H183" s="10">
        <f ca="1">IFERROR(__xludf.DUMMYFUNCTION("GOOGLEFINANCE(A183,""marketcap"")"),17306075310)</f>
        <v>17306075310</v>
      </c>
      <c r="I183" s="13">
        <f ca="1">IFERROR(__xludf.DUMMYFUNCTION("GOOGLEFINANCE(A183,""volume"")"),360283)</f>
        <v>360283</v>
      </c>
      <c r="J183" s="13">
        <f ca="1">IFERROR(__xludf.DUMMYFUNCTION("GOOGLEFINANCE(A183,""volumeavg"")"),259603)</f>
        <v>259603</v>
      </c>
      <c r="K183" s="15">
        <f ca="1">IFERROR(__xludf.DUMMYFUNCTION("GOOGLEFINANCE(A183,""high52"")"),488.64)</f>
        <v>488.64</v>
      </c>
      <c r="L183" s="15">
        <f ca="1">IFERROR(__xludf.DUMMYFUNCTION("GOOGLEFINANCE(A183,""low52"")"),380.96)</f>
        <v>380.96</v>
      </c>
      <c r="M183" s="7">
        <f t="shared" ca="1" si="0"/>
        <v>45379.717931597224</v>
      </c>
    </row>
    <row r="184" spans="1:13">
      <c r="A184" s="4" t="s">
        <v>195</v>
      </c>
      <c r="B184" s="5" t="str">
        <f ca="1">IFERROR(__xludf.DUMMYFUNCTION("GoogleFinance(A184, ""name"")"),"FedEx Corp")</f>
        <v>FedEx Corp</v>
      </c>
      <c r="C184" s="15">
        <f ca="1">IFERROR(__xludf.DUMMYFUNCTION("GoogleFinance(A184, ""price"")"),289.74)</f>
        <v>289.74</v>
      </c>
      <c r="D184" s="6">
        <f ca="1">IFERROR(__xludf.DUMMYFUNCTION("GoogleFinance(A184, ""eps"")"),17.37)</f>
        <v>17.37</v>
      </c>
      <c r="E184" s="6">
        <f ca="1">IFERROR(__xludf.DUMMYFUNCTION("GOOGLEFINANCE(A184,""pe"")"),16.68)</f>
        <v>16.68</v>
      </c>
      <c r="F184" s="6">
        <f ca="1">IFERROR(__xludf.DUMMYFUNCTION("GoogleFinance(A184, ""beta"")"),1.2)</f>
        <v>1.2</v>
      </c>
      <c r="G184" s="13">
        <f ca="1">IFERROR(__xludf.DUMMYFUNCTION("GOOGLEFINANCE(A184,""shares"")"),246081000)</f>
        <v>246081000</v>
      </c>
      <c r="H184" s="10">
        <f ca="1">IFERROR(__xludf.DUMMYFUNCTION("GOOGLEFINANCE(A184,""marketcap"")"),71299419614)</f>
        <v>71299419614</v>
      </c>
      <c r="I184" s="13">
        <f ca="1">IFERROR(__xludf.DUMMYFUNCTION("GOOGLEFINANCE(A184,""volume"")"),1650811)</f>
        <v>1650811</v>
      </c>
      <c r="J184" s="13">
        <f ca="1">IFERROR(__xludf.DUMMYFUNCTION("GOOGLEFINANCE(A184,""volumeavg"")"),2042488)</f>
        <v>2042488</v>
      </c>
      <c r="K184" s="15">
        <f ca="1">IFERROR(__xludf.DUMMYFUNCTION("GOOGLEFINANCE(A184,""high52"")"),291.27)</f>
        <v>291.27</v>
      </c>
      <c r="L184" s="15">
        <f ca="1">IFERROR(__xludf.DUMMYFUNCTION("GOOGLEFINANCE(A184,""low52"")"),213.81)</f>
        <v>213.81</v>
      </c>
      <c r="M184" s="7">
        <f t="shared" ca="1" si="0"/>
        <v>45379.717931597224</v>
      </c>
    </row>
    <row r="185" spans="1:13">
      <c r="A185" s="4" t="s">
        <v>196</v>
      </c>
      <c r="B185" s="5" t="str">
        <f ca="1">IFERROR(__xludf.DUMMYFUNCTION("GoogleFinance(A185, ""name"")"),"FirstEnergy Corp")</f>
        <v>FirstEnergy Corp</v>
      </c>
      <c r="C185" s="15">
        <f ca="1">IFERROR(__xludf.DUMMYFUNCTION("GoogleFinance(A185, ""price"")"),38.62)</f>
        <v>38.619999999999997</v>
      </c>
      <c r="D185" s="6">
        <f ca="1">IFERROR(__xludf.DUMMYFUNCTION("GoogleFinance(A185, ""eps"")"),1.96)</f>
        <v>1.96</v>
      </c>
      <c r="E185" s="6">
        <f ca="1">IFERROR(__xludf.DUMMYFUNCTION("GOOGLEFINANCE(A185,""pe"")"),19.74)</f>
        <v>19.739999999999998</v>
      </c>
      <c r="F185" s="6">
        <f ca="1">IFERROR(__xludf.DUMMYFUNCTION("GoogleFinance(A185, ""beta"")"),0.48)</f>
        <v>0.48</v>
      </c>
      <c r="G185" s="13">
        <f ca="1">IFERROR(__xludf.DUMMYFUNCTION("GOOGLEFINANCE(A185,""shares"")"),574441000)</f>
        <v>574441000</v>
      </c>
      <c r="H185" s="10">
        <f ca="1">IFERROR(__xludf.DUMMYFUNCTION("GOOGLEFINANCE(A185,""marketcap"")"),22184899220)</f>
        <v>22184899220</v>
      </c>
      <c r="I185" s="13">
        <f ca="1">IFERROR(__xludf.DUMMYFUNCTION("GOOGLEFINANCE(A185,""volume"")"),3248209)</f>
        <v>3248209</v>
      </c>
      <c r="J185" s="13">
        <f ca="1">IFERROR(__xludf.DUMMYFUNCTION("GOOGLEFINANCE(A185,""volumeavg"")"),2780312)</f>
        <v>2780312</v>
      </c>
      <c r="K185" s="15">
        <f ca="1">IFERROR(__xludf.DUMMYFUNCTION("GOOGLEFINANCE(A185,""high52"")"),41.99)</f>
        <v>41.99</v>
      </c>
      <c r="L185" s="15">
        <f ca="1">IFERROR(__xludf.DUMMYFUNCTION("GOOGLEFINANCE(A185,""low52"")"),32.18)</f>
        <v>32.18</v>
      </c>
      <c r="M185" s="7">
        <f t="shared" ca="1" si="0"/>
        <v>45379.717931597224</v>
      </c>
    </row>
    <row r="186" spans="1:13">
      <c r="A186" s="4" t="s">
        <v>197</v>
      </c>
      <c r="B186" s="5" t="str">
        <f ca="1">IFERROR(__xludf.DUMMYFUNCTION("GoogleFinance(A186, ""name"")"),"F5 Inc")</f>
        <v>F5 Inc</v>
      </c>
      <c r="C186" s="15">
        <f ca="1">IFERROR(__xludf.DUMMYFUNCTION("GoogleFinance(A186, ""price"")"),189.59)</f>
        <v>189.59</v>
      </c>
      <c r="D186" s="6">
        <f ca="1">IFERROR(__xludf.DUMMYFUNCTION("GoogleFinance(A186, ""eps"")"),7.69)</f>
        <v>7.69</v>
      </c>
      <c r="E186" s="6">
        <f ca="1">IFERROR(__xludf.DUMMYFUNCTION("GOOGLEFINANCE(A186,""pe"")"),24.67)</f>
        <v>24.67</v>
      </c>
      <c r="F186" s="6">
        <f ca="1">IFERROR(__xludf.DUMMYFUNCTION("GoogleFinance(A186, ""beta"")"),1.1)</f>
        <v>1.1000000000000001</v>
      </c>
      <c r="G186" s="13">
        <f ca="1">IFERROR(__xludf.DUMMYFUNCTION("GOOGLEFINANCE(A186,""shares"")"),58806000)</f>
        <v>58806000</v>
      </c>
      <c r="H186" s="10">
        <f ca="1">IFERROR(__xludf.DUMMYFUNCTION("GOOGLEFINANCE(A186,""marketcap"")"),10258551654)</f>
        <v>10258551654</v>
      </c>
      <c r="I186" s="13">
        <f ca="1">IFERROR(__xludf.DUMMYFUNCTION("GOOGLEFINANCE(A186,""volume"")"),273559)</f>
        <v>273559</v>
      </c>
      <c r="J186" s="13">
        <f ca="1">IFERROR(__xludf.DUMMYFUNCTION("GOOGLEFINANCE(A186,""volumeavg"")"),401585)</f>
        <v>401585</v>
      </c>
      <c r="K186" s="15">
        <f ca="1">IFERROR(__xludf.DUMMYFUNCTION("GOOGLEFINANCE(A186,""high52"")"),199.49)</f>
        <v>199.49</v>
      </c>
      <c r="L186" s="15">
        <f ca="1">IFERROR(__xludf.DUMMYFUNCTION("GOOGLEFINANCE(A186,""low52"")"),127.05)</f>
        <v>127.05</v>
      </c>
      <c r="M186" s="7">
        <f t="shared" ca="1" si="0"/>
        <v>45379.717931597224</v>
      </c>
    </row>
    <row r="187" spans="1:13">
      <c r="A187" s="4" t="s">
        <v>198</v>
      </c>
      <c r="B187" s="5" t="str">
        <f ca="1">IFERROR(__xludf.DUMMYFUNCTION("GoogleFinance(A187, ""name"")"),"Fiserv Inc")</f>
        <v>Fiserv Inc</v>
      </c>
      <c r="C187" s="15">
        <f ca="1">IFERROR(__xludf.DUMMYFUNCTION("GoogleFinance(A187, ""price"")"),159.82)</f>
        <v>159.82</v>
      </c>
      <c r="D187" s="6">
        <f ca="1">IFERROR(__xludf.DUMMYFUNCTION("GoogleFinance(A187, ""eps"")"),4.98)</f>
        <v>4.9800000000000004</v>
      </c>
      <c r="E187" s="6">
        <f ca="1">IFERROR(__xludf.DUMMYFUNCTION("GOOGLEFINANCE(A187,""pe"")"),32.08)</f>
        <v>32.08</v>
      </c>
      <c r="F187" s="6">
        <f ca="1">IFERROR(__xludf.DUMMYFUNCTION("GoogleFinance(A187, ""beta"")"),0.91)</f>
        <v>0.91</v>
      </c>
      <c r="G187" s="13">
        <f ca="1">IFERROR(__xludf.DUMMYFUNCTION("GOOGLEFINANCE(A187,""shares"")"),590403000)</f>
        <v>590403000</v>
      </c>
      <c r="H187" s="10">
        <f ca="1">IFERROR(__xludf.DUMMYFUNCTION("GOOGLEFINANCE(A187,""marketcap"")"),94358131874)</f>
        <v>94358131874</v>
      </c>
      <c r="I187" s="13">
        <f ca="1">IFERROR(__xludf.DUMMYFUNCTION("GOOGLEFINANCE(A187,""volume"")"),2751422)</f>
        <v>2751422</v>
      </c>
      <c r="J187" s="13">
        <f ca="1">IFERROR(__xludf.DUMMYFUNCTION("GOOGLEFINANCE(A187,""volumeavg"")"),2515049)</f>
        <v>2515049</v>
      </c>
      <c r="K187" s="15">
        <f ca="1">IFERROR(__xludf.DUMMYFUNCTION("GOOGLEFINANCE(A187,""high52"")"),159.99)</f>
        <v>159.99</v>
      </c>
      <c r="L187" s="15">
        <f ca="1">IFERROR(__xludf.DUMMYFUNCTION("GOOGLEFINANCE(A187,""low52"")"),109.12)</f>
        <v>109.12</v>
      </c>
      <c r="M187" s="7">
        <f t="shared" ca="1" si="0"/>
        <v>45379.717931597224</v>
      </c>
    </row>
    <row r="188" spans="1:13">
      <c r="A188" s="4" t="s">
        <v>199</v>
      </c>
      <c r="B188" s="5" t="str">
        <f ca="1">IFERROR(__xludf.DUMMYFUNCTION("GoogleFinance(A188, ""name"")"),"Fair Isaac Corp")</f>
        <v>Fair Isaac Corp</v>
      </c>
      <c r="C188" s="15">
        <f ca="1">IFERROR(__xludf.DUMMYFUNCTION("GoogleFinance(A188, ""price"")"),1249.61)</f>
        <v>1249.6099999999999</v>
      </c>
      <c r="D188" s="6">
        <f ca="1">IFERROR(__xludf.DUMMYFUNCTION("GoogleFinance(A188, ""eps"")"),17.89)</f>
        <v>17.89</v>
      </c>
      <c r="E188" s="6">
        <f ca="1">IFERROR(__xludf.DUMMYFUNCTION("GOOGLEFINANCE(A188,""pe"")"),69.85)</f>
        <v>69.849999999999994</v>
      </c>
      <c r="F188" s="6">
        <f ca="1">IFERROR(__xludf.DUMMYFUNCTION("GoogleFinance(A188, ""beta"")"),1.22)</f>
        <v>1.22</v>
      </c>
      <c r="G188" s="13">
        <f ca="1">IFERROR(__xludf.DUMMYFUNCTION("GOOGLEFINANCE(A188,""shares"")"),24852000)</f>
        <v>24852000</v>
      </c>
      <c r="H188" s="10">
        <f ca="1">IFERROR(__xludf.DUMMYFUNCTION("GOOGLEFINANCE(A188,""marketcap"")"),31055369836)</f>
        <v>31055369836</v>
      </c>
      <c r="I188" s="13">
        <f ca="1">IFERROR(__xludf.DUMMYFUNCTION("GOOGLEFINANCE(A188,""volume"")"),151704)</f>
        <v>151704</v>
      </c>
      <c r="J188" s="13">
        <f ca="1">IFERROR(__xludf.DUMMYFUNCTION("GOOGLEFINANCE(A188,""volumeavg"")"),162359)</f>
        <v>162359</v>
      </c>
      <c r="K188" s="15">
        <f ca="1">IFERROR(__xludf.DUMMYFUNCTION("GOOGLEFINANCE(A188,""high52"")"),1349.75)</f>
        <v>1349.75</v>
      </c>
      <c r="L188" s="15">
        <f ca="1">IFERROR(__xludf.DUMMYFUNCTION("GOOGLEFINANCE(A188,""low52"")"),664.41)</f>
        <v>664.41</v>
      </c>
      <c r="M188" s="7">
        <f t="shared" ca="1" si="0"/>
        <v>45379.717931597224</v>
      </c>
    </row>
    <row r="189" spans="1:13">
      <c r="A189" s="4" t="s">
        <v>200</v>
      </c>
      <c r="B189" s="5" t="str">
        <f ca="1">IFERROR(__xludf.DUMMYFUNCTION("GoogleFinance(A189, ""name"")"),"Fidelity National Information Servcs Inc")</f>
        <v>Fidelity National Information Servcs Inc</v>
      </c>
      <c r="C189" s="15">
        <f ca="1">IFERROR(__xludf.DUMMYFUNCTION("GoogleFinance(A189, ""price"")"),74.18)</f>
        <v>74.180000000000007</v>
      </c>
      <c r="D189" s="6">
        <f ca="1">IFERROR(__xludf.DUMMYFUNCTION("GoogleFinance(A189, ""eps"")"),0.85)</f>
        <v>0.85</v>
      </c>
      <c r="E189" s="6">
        <f ca="1">IFERROR(__xludf.DUMMYFUNCTION("GOOGLEFINANCE(A189,""pe"")"),87.16)</f>
        <v>87.16</v>
      </c>
      <c r="F189" s="6">
        <f ca="1">IFERROR(__xludf.DUMMYFUNCTION("GoogleFinance(A189, ""beta"")"),0.97)</f>
        <v>0.97</v>
      </c>
      <c r="G189" s="13">
        <f ca="1">IFERROR(__xludf.DUMMYFUNCTION("GOOGLEFINANCE(A189,""shares"")"),576466000)</f>
        <v>576466000</v>
      </c>
      <c r="H189" s="10">
        <f ca="1">IFERROR(__xludf.DUMMYFUNCTION("GOOGLEFINANCE(A189,""marketcap"")"),42762218383)</f>
        <v>42762218383</v>
      </c>
      <c r="I189" s="13">
        <f ca="1">IFERROR(__xludf.DUMMYFUNCTION("GOOGLEFINANCE(A189,""volume"")"),4503555)</f>
        <v>4503555</v>
      </c>
      <c r="J189" s="13">
        <f ca="1">IFERROR(__xludf.DUMMYFUNCTION("GOOGLEFINANCE(A189,""volumeavg"")"),4304794)</f>
        <v>4304794</v>
      </c>
      <c r="K189" s="15">
        <f ca="1">IFERROR(__xludf.DUMMYFUNCTION("GOOGLEFINANCE(A189,""high52"")"),74.75)</f>
        <v>74.75</v>
      </c>
      <c r="L189" s="15">
        <f ca="1">IFERROR(__xludf.DUMMYFUNCTION("GOOGLEFINANCE(A189,""low52"")"),46.91)</f>
        <v>46.91</v>
      </c>
      <c r="M189" s="7">
        <f t="shared" ca="1" si="0"/>
        <v>45379.717931597224</v>
      </c>
    </row>
    <row r="190" spans="1:13">
      <c r="A190" s="4" t="s">
        <v>201</v>
      </c>
      <c r="B190" s="5" t="str">
        <f ca="1">IFERROR(__xludf.DUMMYFUNCTION("GoogleFinance(A190, ""name"")"),"Fifth Third Bancorp")</f>
        <v>Fifth Third Bancorp</v>
      </c>
      <c r="C190" s="15">
        <f ca="1">IFERROR(__xludf.DUMMYFUNCTION("GoogleFinance(A190, ""price"")"),37.21)</f>
        <v>37.21</v>
      </c>
      <c r="D190" s="6">
        <f ca="1">IFERROR(__xludf.DUMMYFUNCTION("GoogleFinance(A190, ""eps"")"),3.22)</f>
        <v>3.22</v>
      </c>
      <c r="E190" s="6">
        <f ca="1">IFERROR(__xludf.DUMMYFUNCTION("GOOGLEFINANCE(A190,""pe"")"),11.57)</f>
        <v>11.57</v>
      </c>
      <c r="F190" s="6">
        <f ca="1">IFERROR(__xludf.DUMMYFUNCTION("GoogleFinance(A190, ""beta"")"),1.26)</f>
        <v>1.26</v>
      </c>
      <c r="G190" s="13">
        <f ca="1">IFERROR(__xludf.DUMMYFUNCTION("GOOGLEFINANCE(A190,""shares"")"),683550000)</f>
        <v>683550000</v>
      </c>
      <c r="H190" s="10">
        <f ca="1">IFERROR(__xludf.DUMMYFUNCTION("GOOGLEFINANCE(A190,""marketcap"")"),25434894874)</f>
        <v>25434894874</v>
      </c>
      <c r="I190" s="13">
        <f ca="1">IFERROR(__xludf.DUMMYFUNCTION("GOOGLEFINANCE(A190,""volume"")"),0)</f>
        <v>0</v>
      </c>
      <c r="J190" s="13">
        <f ca="1">IFERROR(__xludf.DUMMYFUNCTION("GOOGLEFINANCE(A190,""volumeavg"")"),5434458)</f>
        <v>5434458</v>
      </c>
      <c r="K190" s="15">
        <f ca="1">IFERROR(__xludf.DUMMYFUNCTION("GOOGLEFINANCE(A190,""high52"")"),37.41)</f>
        <v>37.409999999999997</v>
      </c>
      <c r="L190" s="15">
        <f ca="1">IFERROR(__xludf.DUMMYFUNCTION("GOOGLEFINANCE(A190,""low52"")"),22.46)</f>
        <v>22.46</v>
      </c>
      <c r="M190" s="7">
        <f t="shared" ca="1" si="0"/>
        <v>45379.717931597224</v>
      </c>
    </row>
    <row r="191" spans="1:13">
      <c r="A191" s="4" t="s">
        <v>202</v>
      </c>
      <c r="B191" s="5" t="str">
        <f ca="1">IFERROR(__xludf.DUMMYFUNCTION("GoogleFinance(A191, ""name"")"),"Drone Delivery Canada Corp")</f>
        <v>Drone Delivery Canada Corp</v>
      </c>
      <c r="C191" s="15">
        <f ca="1">IFERROR(__xludf.DUMMYFUNCTION("GoogleFinance(A191, ""price"")"),0.23)</f>
        <v>0.23</v>
      </c>
      <c r="D191" s="6">
        <f ca="1">IFERROR(__xludf.DUMMYFUNCTION("GoogleFinance(A191, ""eps"")"),-0.04)</f>
        <v>-0.04</v>
      </c>
      <c r="E191" s="6" t="str">
        <f ca="1">IFERROR(__xludf.DUMMYFUNCTION("GOOGLEFINANCE(A191,""pe"")"),"#N/A")</f>
        <v>#N/A</v>
      </c>
      <c r="F191" s="6">
        <f ca="1">IFERROR(__xludf.DUMMYFUNCTION("GoogleFinance(A191, ""beta"")"),0.64)</f>
        <v>0.64</v>
      </c>
      <c r="G191" s="13">
        <f ca="1">IFERROR(__xludf.DUMMYFUNCTION("GOOGLEFINANCE(A191,""shares"")"),224199000)</f>
        <v>224199000</v>
      </c>
      <c r="H191" s="10">
        <f ca="1">IFERROR(__xludf.DUMMYFUNCTION("GOOGLEFINANCE(A191,""marketcap"")"),50491555)</f>
        <v>50491555</v>
      </c>
      <c r="I191" s="13">
        <f ca="1">IFERROR(__xludf.DUMMYFUNCTION("GOOGLEFINANCE(A191,""volume"")"),52533)</f>
        <v>52533</v>
      </c>
      <c r="J191" s="13">
        <f ca="1">IFERROR(__xludf.DUMMYFUNCTION("GOOGLEFINANCE(A191,""volumeavg"")"),139727)</f>
        <v>139727</v>
      </c>
      <c r="K191" s="15">
        <f ca="1">IFERROR(__xludf.DUMMYFUNCTION("GOOGLEFINANCE(A191,""high52"")"),0.49)</f>
        <v>0.49</v>
      </c>
      <c r="L191" s="15">
        <f ca="1">IFERROR(__xludf.DUMMYFUNCTION("GOOGLEFINANCE(A191,""low52"")"),0.15)</f>
        <v>0.15</v>
      </c>
      <c r="M191" s="7">
        <f t="shared" ca="1" si="0"/>
        <v>45379.717931597224</v>
      </c>
    </row>
    <row r="192" spans="1:13">
      <c r="A192" s="4" t="s">
        <v>203</v>
      </c>
      <c r="B192" s="5" t="str">
        <f ca="1">IFERROR(__xludf.DUMMYFUNCTION("GoogleFinance(A192, ""name"")"),"FMC Corp")</f>
        <v>FMC Corp</v>
      </c>
      <c r="C192" s="15">
        <f ca="1">IFERROR(__xludf.DUMMYFUNCTION("GoogleFinance(A192, ""price"")"),63.7)</f>
        <v>63.7</v>
      </c>
      <c r="D192" s="6">
        <f ca="1">IFERROR(__xludf.DUMMYFUNCTION("GoogleFinance(A192, ""eps"")"),11.29)</f>
        <v>11.29</v>
      </c>
      <c r="E192" s="6">
        <f ca="1">IFERROR(__xludf.DUMMYFUNCTION("GOOGLEFINANCE(A192,""pe"")"),5.64)</f>
        <v>5.64</v>
      </c>
      <c r="F192" s="6">
        <f ca="1">IFERROR(__xludf.DUMMYFUNCTION("GoogleFinance(A192, ""beta"")"),0.86)</f>
        <v>0.86</v>
      </c>
      <c r="G192" s="13">
        <f ca="1">IFERROR(__xludf.DUMMYFUNCTION("GOOGLEFINANCE(A192,""shares"")"),124761000)</f>
        <v>124761000</v>
      </c>
      <c r="H192" s="10">
        <f ca="1">IFERROR(__xludf.DUMMYFUNCTION("GOOGLEFINANCE(A192,""marketcap"")"),7950817515)</f>
        <v>7950817515</v>
      </c>
      <c r="I192" s="13">
        <f ca="1">IFERROR(__xludf.DUMMYFUNCTION("GOOGLEFINANCE(A192,""volume"")"),2017878)</f>
        <v>2017878</v>
      </c>
      <c r="J192" s="13">
        <f ca="1">IFERROR(__xludf.DUMMYFUNCTION("GOOGLEFINANCE(A192,""volumeavg"")"),2162628)</f>
        <v>2162628</v>
      </c>
      <c r="K192" s="15">
        <f ca="1">IFERROR(__xludf.DUMMYFUNCTION("GOOGLEFINANCE(A192,""high52"")"),125.2)</f>
        <v>125.2</v>
      </c>
      <c r="L192" s="15">
        <f ca="1">IFERROR(__xludf.DUMMYFUNCTION("GOOGLEFINANCE(A192,""low52"")"),49.49)</f>
        <v>49.49</v>
      </c>
      <c r="M192" s="7">
        <f t="shared" ca="1" si="0"/>
        <v>45379.717931597224</v>
      </c>
    </row>
    <row r="193" spans="1:13">
      <c r="A193" s="4" t="s">
        <v>204</v>
      </c>
      <c r="B193" s="5" t="str">
        <f ca="1">IFERROR(__xludf.DUMMYFUNCTION("GoogleFinance(A193, ""name"")"),"Fox Corp Class B")</f>
        <v>Fox Corp Class B</v>
      </c>
      <c r="C193" s="15">
        <f ca="1">IFERROR(__xludf.DUMMYFUNCTION("GoogleFinance(A193, ""price"")"),28.62)</f>
        <v>28.62</v>
      </c>
      <c r="D193" s="6">
        <f ca="1">IFERROR(__xludf.DUMMYFUNCTION("GoogleFinance(A193, ""eps"")"),1.69)</f>
        <v>1.69</v>
      </c>
      <c r="E193" s="6">
        <f ca="1">IFERROR(__xludf.DUMMYFUNCTION("GOOGLEFINANCE(A193,""pe"")"),16.97)</f>
        <v>16.97</v>
      </c>
      <c r="F193" s="6">
        <f ca="1">IFERROR(__xludf.DUMMYFUNCTION("GoogleFinance(A193, ""beta"")"),0.85)</f>
        <v>0.85</v>
      </c>
      <c r="G193" s="13">
        <f ca="1">IFERROR(__xludf.DUMMYFUNCTION("GOOGLEFINANCE(A193,""shares"")"),235581000)</f>
        <v>235581000</v>
      </c>
      <c r="H193" s="10">
        <f ca="1">IFERROR(__xludf.DUMMYFUNCTION("GOOGLEFINANCE(A193,""marketcap"")"),14241993629)</f>
        <v>14241993629</v>
      </c>
      <c r="I193" s="13">
        <f ca="1">IFERROR(__xludf.DUMMYFUNCTION("GOOGLEFINANCE(A193,""volume"")"),1173830)</f>
        <v>1173830</v>
      </c>
      <c r="J193" s="13">
        <f ca="1">IFERROR(__xludf.DUMMYFUNCTION("GOOGLEFINANCE(A193,""volumeavg"")"),1545288)</f>
        <v>1545288</v>
      </c>
      <c r="K193" s="15">
        <f ca="1">IFERROR(__xludf.DUMMYFUNCTION("GOOGLEFINANCE(A193,""high52"")"),33.24)</f>
        <v>33.24</v>
      </c>
      <c r="L193" s="15">
        <f ca="1">IFERROR(__xludf.DUMMYFUNCTION("GOOGLEFINANCE(A193,""low52"")"),25.82)</f>
        <v>25.82</v>
      </c>
      <c r="M193" s="7">
        <f t="shared" ca="1" si="0"/>
        <v>45379.717931597224</v>
      </c>
    </row>
    <row r="194" spans="1:13">
      <c r="A194" s="4" t="s">
        <v>205</v>
      </c>
      <c r="B194" s="5" t="str">
        <f ca="1">IFERROR(__xludf.DUMMYFUNCTION("GoogleFinance(A194, ""name"")"),"Fox Corp Class A")</f>
        <v>Fox Corp Class A</v>
      </c>
      <c r="C194" s="15">
        <f ca="1">IFERROR(__xludf.DUMMYFUNCTION("GoogleFinance(A194, ""price"")"),31.27)</f>
        <v>31.27</v>
      </c>
      <c r="D194" s="6">
        <f ca="1">IFERROR(__xludf.DUMMYFUNCTION("GoogleFinance(A194, ""eps"")"),1.69)</f>
        <v>1.69</v>
      </c>
      <c r="E194" s="6">
        <f ca="1">IFERROR(__xludf.DUMMYFUNCTION("GOOGLEFINANCE(A194,""pe"")"),18.55)</f>
        <v>18.55</v>
      </c>
      <c r="F194" s="6">
        <f ca="1">IFERROR(__xludf.DUMMYFUNCTION("GoogleFinance(A194, ""beta"")"),0.78)</f>
        <v>0.78</v>
      </c>
      <c r="G194" s="13">
        <f ca="1">IFERROR(__xludf.DUMMYFUNCTION("GOOGLEFINANCE(A194,""shares"")"),239295000)</f>
        <v>239295000</v>
      </c>
      <c r="H194" s="10">
        <f ca="1">IFERROR(__xludf.DUMMYFUNCTION("GOOGLEFINANCE(A194,""marketcap"")"),14241993629)</f>
        <v>14241993629</v>
      </c>
      <c r="I194" s="13">
        <f ca="1">IFERROR(__xludf.DUMMYFUNCTION("GOOGLEFINANCE(A194,""volume"")"),4151228)</f>
        <v>4151228</v>
      </c>
      <c r="J194" s="13">
        <f ca="1">IFERROR(__xludf.DUMMYFUNCTION("GOOGLEFINANCE(A194,""volumeavg"")"),3400872)</f>
        <v>3400872</v>
      </c>
      <c r="K194" s="15">
        <f ca="1">IFERROR(__xludf.DUMMYFUNCTION("GOOGLEFINANCE(A194,""high52"")"),35.41)</f>
        <v>35.409999999999997</v>
      </c>
      <c r="L194" s="15">
        <f ca="1">IFERROR(__xludf.DUMMYFUNCTION("GOOGLEFINANCE(A194,""low52"")"),28.29)</f>
        <v>28.29</v>
      </c>
      <c r="M194" s="7">
        <f t="shared" ca="1" si="0"/>
        <v>45379.717931597224</v>
      </c>
    </row>
    <row r="195" spans="1:13">
      <c r="A195" s="4" t="s">
        <v>206</v>
      </c>
      <c r="B195" s="5" t="str">
        <f ca="1">IFERROR(__xludf.DUMMYFUNCTION("GoogleFinance(A195, ""name"")"),"Federal Realty Investment Trust")</f>
        <v>Federal Realty Investment Trust</v>
      </c>
      <c r="C195" s="15">
        <f ca="1">IFERROR(__xludf.DUMMYFUNCTION("GoogleFinance(A195, ""price"")"),102.12)</f>
        <v>102.12</v>
      </c>
      <c r="D195" s="6">
        <f ca="1">IFERROR(__xludf.DUMMYFUNCTION("GoogleFinance(A195, ""eps"")"),2.8)</f>
        <v>2.8</v>
      </c>
      <c r="E195" s="6">
        <f ca="1">IFERROR(__xludf.DUMMYFUNCTION("GOOGLEFINANCE(A195,""pe"")"),36.47)</f>
        <v>36.47</v>
      </c>
      <c r="F195" s="6">
        <f ca="1">IFERROR(__xludf.DUMMYFUNCTION("GoogleFinance(A195, ""beta"")"),1.19)</f>
        <v>1.19</v>
      </c>
      <c r="G195" s="13">
        <f ca="1">IFERROR(__xludf.DUMMYFUNCTION("GOOGLEFINANCE(A195,""shares"")"),82990000)</f>
        <v>82990000</v>
      </c>
      <c r="H195" s="10">
        <f ca="1">IFERROR(__xludf.DUMMYFUNCTION("GOOGLEFINANCE(A195,""marketcap"")"),8470273165)</f>
        <v>8470273165</v>
      </c>
      <c r="I195" s="13">
        <f ca="1">IFERROR(__xludf.DUMMYFUNCTION("GOOGLEFINANCE(A195,""volume"")"),674206)</f>
        <v>674206</v>
      </c>
      <c r="J195" s="13">
        <f ca="1">IFERROR(__xludf.DUMMYFUNCTION("GOOGLEFINANCE(A195,""volumeavg"")"),603211)</f>
        <v>603211</v>
      </c>
      <c r="K195" s="15">
        <f ca="1">IFERROR(__xludf.DUMMYFUNCTION("GOOGLEFINANCE(A195,""high52"")"),107.61)</f>
        <v>107.61</v>
      </c>
      <c r="L195" s="15">
        <f ca="1">IFERROR(__xludf.DUMMYFUNCTION("GOOGLEFINANCE(A195,""low52"")"),85.27)</f>
        <v>85.27</v>
      </c>
      <c r="M195" s="7">
        <f t="shared" ca="1" si="0"/>
        <v>45379.717931597224</v>
      </c>
    </row>
    <row r="196" spans="1:13">
      <c r="A196" s="4" t="s">
        <v>207</v>
      </c>
      <c r="B196" s="5" t="str">
        <f ca="1">IFERROR(__xludf.DUMMYFUNCTION("GoogleFinance(A196, ""name"")"),"First Solar Inc")</f>
        <v>First Solar Inc</v>
      </c>
      <c r="C196" s="15">
        <f ca="1">IFERROR(__xludf.DUMMYFUNCTION("GoogleFinance(A196, ""price"")"),168.8)</f>
        <v>168.8</v>
      </c>
      <c r="D196" s="6">
        <f ca="1">IFERROR(__xludf.DUMMYFUNCTION("GoogleFinance(A196, ""eps"")"),7.74)</f>
        <v>7.74</v>
      </c>
      <c r="E196" s="6">
        <f ca="1">IFERROR(__xludf.DUMMYFUNCTION("GOOGLEFINANCE(A196,""pe"")"),21.82)</f>
        <v>21.82</v>
      </c>
      <c r="F196" s="6">
        <f ca="1">IFERROR(__xludf.DUMMYFUNCTION("GoogleFinance(A196, ""beta"")"),1.41)</f>
        <v>1.41</v>
      </c>
      <c r="G196" s="13">
        <f ca="1">IFERROR(__xludf.DUMMYFUNCTION("GOOGLEFINANCE(A196,""shares"")"),106849000)</f>
        <v>106849000</v>
      </c>
      <c r="H196" s="10">
        <f ca="1">IFERROR(__xludf.DUMMYFUNCTION("GOOGLEFINANCE(A196,""marketcap"")"),18036094646)</f>
        <v>18036094646</v>
      </c>
      <c r="I196" s="13">
        <f ca="1">IFERROR(__xludf.DUMMYFUNCTION("GOOGLEFINANCE(A196,""volume"")"),2133506)</f>
        <v>2133506</v>
      </c>
      <c r="J196" s="13">
        <f ca="1">IFERROR(__xludf.DUMMYFUNCTION("GOOGLEFINANCE(A196,""volumeavg"")"),2224478)</f>
        <v>2224478</v>
      </c>
      <c r="K196" s="15">
        <f ca="1">IFERROR(__xludf.DUMMYFUNCTION("GOOGLEFINANCE(A196,""high52"")"),232)</f>
        <v>232</v>
      </c>
      <c r="L196" s="15">
        <f ca="1">IFERROR(__xludf.DUMMYFUNCTION("GOOGLEFINANCE(A196,""low52"")"),129.22)</f>
        <v>129.22</v>
      </c>
      <c r="M196" s="7">
        <f t="shared" ca="1" si="0"/>
        <v>45379.717931597224</v>
      </c>
    </row>
    <row r="197" spans="1:13">
      <c r="A197" s="4" t="s">
        <v>208</v>
      </c>
      <c r="B197" s="5" t="str">
        <f ca="1">IFERROR(__xludf.DUMMYFUNCTION("GoogleFinance(A197, ""name"")"),"Fortinet Inc")</f>
        <v>Fortinet Inc</v>
      </c>
      <c r="C197" s="15">
        <f ca="1">IFERROR(__xludf.DUMMYFUNCTION("GoogleFinance(A197, ""price"")"),68.31)</f>
        <v>68.31</v>
      </c>
      <c r="D197" s="6">
        <f ca="1">IFERROR(__xludf.DUMMYFUNCTION("GoogleFinance(A197, ""eps"")"),1.46)</f>
        <v>1.46</v>
      </c>
      <c r="E197" s="6">
        <f ca="1">IFERROR(__xludf.DUMMYFUNCTION("GOOGLEFINANCE(A197,""pe"")"),46.91)</f>
        <v>46.91</v>
      </c>
      <c r="F197" s="6">
        <f ca="1">IFERROR(__xludf.DUMMYFUNCTION("GoogleFinance(A197, ""beta"")"),1.08)</f>
        <v>1.08</v>
      </c>
      <c r="G197" s="13">
        <f ca="1">IFERROR(__xludf.DUMMYFUNCTION("GOOGLEFINANCE(A197,""shares"")"),763031000)</f>
        <v>763031000</v>
      </c>
      <c r="H197" s="10">
        <f ca="1">IFERROR(__xludf.DUMMYFUNCTION("GOOGLEFINANCE(A197,""marketcap"")"),52122638916)</f>
        <v>52122638916</v>
      </c>
      <c r="I197" s="13">
        <f ca="1">IFERROR(__xludf.DUMMYFUNCTION("GOOGLEFINANCE(A197,""volume"")"),3922190)</f>
        <v>3922190</v>
      </c>
      <c r="J197" s="13">
        <f ca="1">IFERROR(__xludf.DUMMYFUNCTION("GOOGLEFINANCE(A197,""volumeavg"")"),4981678)</f>
        <v>4981678</v>
      </c>
      <c r="K197" s="15">
        <f ca="1">IFERROR(__xludf.DUMMYFUNCTION("GOOGLEFINANCE(A197,""high52"")"),81.24)</f>
        <v>81.239999999999995</v>
      </c>
      <c r="L197" s="15">
        <f ca="1">IFERROR(__xludf.DUMMYFUNCTION("GOOGLEFINANCE(A197,""low52"")"),44.12)</f>
        <v>44.12</v>
      </c>
      <c r="M197" s="7">
        <f t="shared" ca="1" si="0"/>
        <v>45379.717931597224</v>
      </c>
    </row>
    <row r="198" spans="1:13">
      <c r="A198" s="4" t="s">
        <v>209</v>
      </c>
      <c r="B198" s="5" t="str">
        <f ca="1">IFERROR(__xludf.DUMMYFUNCTION("GoogleFinance(A198, ""name"")"),"Fortive Corp")</f>
        <v>Fortive Corp</v>
      </c>
      <c r="C198" s="15">
        <f ca="1">IFERROR(__xludf.DUMMYFUNCTION("GoogleFinance(A198, ""price"")"),86.02)</f>
        <v>86.02</v>
      </c>
      <c r="D198" s="6">
        <f ca="1">IFERROR(__xludf.DUMMYFUNCTION("GoogleFinance(A198, ""eps"")"),2.43)</f>
        <v>2.4300000000000002</v>
      </c>
      <c r="E198" s="6">
        <f ca="1">IFERROR(__xludf.DUMMYFUNCTION("GOOGLEFINANCE(A198,""pe"")"),35.33)</f>
        <v>35.33</v>
      </c>
      <c r="F198" s="6">
        <f ca="1">IFERROR(__xludf.DUMMYFUNCTION("GoogleFinance(A198, ""beta"")"),1.14)</f>
        <v>1.1399999999999999</v>
      </c>
      <c r="G198" s="13">
        <f ca="1">IFERROR(__xludf.DUMMYFUNCTION("GOOGLEFINANCE(A198,""shares"")"),351380000)</f>
        <v>351380000</v>
      </c>
      <c r="H198" s="10">
        <f ca="1">IFERROR(__xludf.DUMMYFUNCTION("GOOGLEFINANCE(A198,""marketcap"")"),30225680614)</f>
        <v>30225680614</v>
      </c>
      <c r="I198" s="13">
        <f ca="1">IFERROR(__xludf.DUMMYFUNCTION("GOOGLEFINANCE(A198,""volume"")"),1244365)</f>
        <v>1244365</v>
      </c>
      <c r="J198" s="13">
        <f ca="1">IFERROR(__xludf.DUMMYFUNCTION("GOOGLEFINANCE(A198,""volumeavg"")"),1446809)</f>
        <v>1446809</v>
      </c>
      <c r="K198" s="15">
        <f ca="1">IFERROR(__xludf.DUMMYFUNCTION("GOOGLEFINANCE(A198,""high52"")"),87.1)</f>
        <v>87.1</v>
      </c>
      <c r="L198" s="15">
        <f ca="1">IFERROR(__xludf.DUMMYFUNCTION("GOOGLEFINANCE(A198,""low52"")"),62.7)</f>
        <v>62.7</v>
      </c>
      <c r="M198" s="7">
        <f t="shared" ca="1" si="0"/>
        <v>45379.717931597224</v>
      </c>
    </row>
    <row r="199" spans="1:13">
      <c r="A199" s="4" t="s">
        <v>210</v>
      </c>
      <c r="B199" s="5" t="str">
        <f ca="1">IFERROR(__xludf.DUMMYFUNCTION("GoogleFinance(A199, ""name"")"),"General Dynamics Corp")</f>
        <v>General Dynamics Corp</v>
      </c>
      <c r="C199" s="15">
        <f ca="1">IFERROR(__xludf.DUMMYFUNCTION("GoogleFinance(A199, ""price"")"),282.49)</f>
        <v>282.49</v>
      </c>
      <c r="D199" s="6">
        <f ca="1">IFERROR(__xludf.DUMMYFUNCTION("GoogleFinance(A199, ""eps"")"),12.02)</f>
        <v>12.02</v>
      </c>
      <c r="E199" s="6">
        <f ca="1">IFERROR(__xludf.DUMMYFUNCTION("GOOGLEFINANCE(A199,""pe"")"),23.5)</f>
        <v>23.5</v>
      </c>
      <c r="F199" s="6">
        <f ca="1">IFERROR(__xludf.DUMMYFUNCTION("GoogleFinance(A199, ""beta"")"),0.68)</f>
        <v>0.68</v>
      </c>
      <c r="G199" s="13">
        <f ca="1">IFERROR(__xludf.DUMMYFUNCTION("GOOGLEFINANCE(A199,""shares"")"),273980000)</f>
        <v>273980000</v>
      </c>
      <c r="H199" s="10">
        <f ca="1">IFERROR(__xludf.DUMMYFUNCTION("GOOGLEFINANCE(A199,""marketcap"")"),77506241889)</f>
        <v>77506241889</v>
      </c>
      <c r="I199" s="13">
        <f ca="1">IFERROR(__xludf.DUMMYFUNCTION("GOOGLEFINANCE(A199,""volume"")"),644505)</f>
        <v>644505</v>
      </c>
      <c r="J199" s="13">
        <f ca="1">IFERROR(__xludf.DUMMYFUNCTION("GOOGLEFINANCE(A199,""volumeavg"")"),800335)</f>
        <v>800335</v>
      </c>
      <c r="K199" s="15">
        <f ca="1">IFERROR(__xludf.DUMMYFUNCTION("GOOGLEFINANCE(A199,""high52"")"),284.75)</f>
        <v>284.75</v>
      </c>
      <c r="L199" s="15">
        <f ca="1">IFERROR(__xludf.DUMMYFUNCTION("GOOGLEFINANCE(A199,""low52"")"),202.35)</f>
        <v>202.35</v>
      </c>
      <c r="M199" s="7">
        <f t="shared" ca="1" si="0"/>
        <v>45379.717931597224</v>
      </c>
    </row>
    <row r="200" spans="1:13">
      <c r="A200" s="4" t="s">
        <v>211</v>
      </c>
      <c r="B200" s="5" t="str">
        <f ca="1">IFERROR(__xludf.DUMMYFUNCTION("GoogleFinance(A200, ""name"")"),"General Electric Co")</f>
        <v>General Electric Co</v>
      </c>
      <c r="C200" s="15">
        <f ca="1">IFERROR(__xludf.DUMMYFUNCTION("GoogleFinance(A200, ""price"")"),175.53)</f>
        <v>175.53</v>
      </c>
      <c r="D200" s="6">
        <f ca="1">IFERROR(__xludf.DUMMYFUNCTION("GoogleFinance(A200, ""eps"")"),7.98)</f>
        <v>7.98</v>
      </c>
      <c r="E200" s="6">
        <f ca="1">IFERROR(__xludf.DUMMYFUNCTION("GOOGLEFINANCE(A200,""pe"")"),21.99)</f>
        <v>21.99</v>
      </c>
      <c r="F200" s="6">
        <f ca="1">IFERROR(__xludf.DUMMYFUNCTION("GoogleFinance(A200, ""beta"")"),1.3)</f>
        <v>1.3</v>
      </c>
      <c r="G200" s="13">
        <f ca="1">IFERROR(__xludf.DUMMYFUNCTION("GOOGLEFINANCE(A200,""shares"")"),1093267000)</f>
        <v>1093267000</v>
      </c>
      <c r="H200" s="10">
        <f ca="1">IFERROR(__xludf.DUMMYFUNCTION("GOOGLEFINANCE(A200,""marketcap"")"),191901155175)</f>
        <v>191901155175</v>
      </c>
      <c r="I200" s="13">
        <f ca="1">IFERROR(__xludf.DUMMYFUNCTION("GOOGLEFINANCE(A200,""volume"")"),9674246)</f>
        <v>9674246</v>
      </c>
      <c r="J200" s="13">
        <f ca="1">IFERROR(__xludf.DUMMYFUNCTION("GOOGLEFINANCE(A200,""volumeavg"")"),7032826)</f>
        <v>7032826</v>
      </c>
      <c r="K200" s="15">
        <f ca="1">IFERROR(__xludf.DUMMYFUNCTION("GOOGLEFINANCE(A200,""high52"")"),180.36)</f>
        <v>180.36</v>
      </c>
      <c r="L200" s="15">
        <f ca="1">IFERROR(__xludf.DUMMYFUNCTION("GOOGLEFINANCE(A200,""low52"")"),93.47)</f>
        <v>93.47</v>
      </c>
      <c r="M200" s="7">
        <f t="shared" ca="1" si="0"/>
        <v>45379.717931597224</v>
      </c>
    </row>
    <row r="201" spans="1:13">
      <c r="A201" s="4" t="s">
        <v>212</v>
      </c>
      <c r="B201" s="5" t="str">
        <f ca="1">IFERROR(__xludf.DUMMYFUNCTION("GoogleFinance(A201, ""name"")"),"GE HealthCare Technologies Inc")</f>
        <v>GE HealthCare Technologies Inc</v>
      </c>
      <c r="C201" s="15">
        <f ca="1">IFERROR(__xludf.DUMMYFUNCTION("GoogleFinance(A201, ""price"")"),90.91)</f>
        <v>90.91</v>
      </c>
      <c r="D201" s="6">
        <f ca="1">IFERROR(__xludf.DUMMYFUNCTION("GoogleFinance(A201, ""eps"")"),3.03)</f>
        <v>3.03</v>
      </c>
      <c r="E201" s="6">
        <f ca="1">IFERROR(__xludf.DUMMYFUNCTION("GOOGLEFINANCE(A201,""pe"")"),29.98)</f>
        <v>29.98</v>
      </c>
      <c r="F201" s="6" t="str">
        <f ca="1">IFERROR(__xludf.DUMMYFUNCTION("GoogleFinance(A201, ""beta"")"),"#N/A")</f>
        <v>#N/A</v>
      </c>
      <c r="G201" s="13">
        <f ca="1">IFERROR(__xludf.DUMMYFUNCTION("GOOGLEFINANCE(A201,""shares"")"),455357000)</f>
        <v>455357000</v>
      </c>
      <c r="H201" s="10">
        <f ca="1">IFERROR(__xludf.DUMMYFUNCTION("GOOGLEFINANCE(A201,""marketcap"")"),41396524719)</f>
        <v>41396524719</v>
      </c>
      <c r="I201" s="13">
        <f ca="1">IFERROR(__xludf.DUMMYFUNCTION("GOOGLEFINANCE(A201,""volume"")"),2108349)</f>
        <v>2108349</v>
      </c>
      <c r="J201" s="13">
        <f ca="1">IFERROR(__xludf.DUMMYFUNCTION("GOOGLEFINANCE(A201,""volumeavg"")"),4345365)</f>
        <v>4345365</v>
      </c>
      <c r="K201" s="15">
        <f ca="1">IFERROR(__xludf.DUMMYFUNCTION("GOOGLEFINANCE(A201,""high52"")"),94.5)</f>
        <v>94.5</v>
      </c>
      <c r="L201" s="15">
        <f ca="1">IFERROR(__xludf.DUMMYFUNCTION("GOOGLEFINANCE(A201,""low52"")"),62.35)</f>
        <v>62.35</v>
      </c>
      <c r="M201" s="7">
        <f t="shared" ca="1" si="0"/>
        <v>45379.717931597224</v>
      </c>
    </row>
    <row r="202" spans="1:13">
      <c r="A202" s="4" t="s">
        <v>213</v>
      </c>
      <c r="B202" s="5" t="str">
        <f ca="1">IFERROR(__xludf.DUMMYFUNCTION("GoogleFinance(A202, ""name"")"),"Gen Digital Inc")</f>
        <v>Gen Digital Inc</v>
      </c>
      <c r="C202" s="15">
        <f ca="1">IFERROR(__xludf.DUMMYFUNCTION("GoogleFinance(A202, ""price"")"),22.4)</f>
        <v>22.4</v>
      </c>
      <c r="D202" s="6">
        <f ca="1">IFERROR(__xludf.DUMMYFUNCTION("GoogleFinance(A202, ""eps"")"),2.17)</f>
        <v>2.17</v>
      </c>
      <c r="E202" s="6">
        <f ca="1">IFERROR(__xludf.DUMMYFUNCTION("GOOGLEFINANCE(A202,""pe"")"),10.34)</f>
        <v>10.34</v>
      </c>
      <c r="F202" s="6">
        <f ca="1">IFERROR(__xludf.DUMMYFUNCTION("GoogleFinance(A202, ""beta"")"),0.61)</f>
        <v>0.61</v>
      </c>
      <c r="G202" s="13">
        <f ca="1">IFERROR(__xludf.DUMMYFUNCTION("GOOGLEFINANCE(A202,""shares"")"),636910000)</f>
        <v>636910000</v>
      </c>
      <c r="H202" s="10">
        <f ca="1">IFERROR(__xludf.DUMMYFUNCTION("GOOGLEFINANCE(A202,""marketcap"")"),14266781517)</f>
        <v>14266781517</v>
      </c>
      <c r="I202" s="13">
        <f ca="1">IFERROR(__xludf.DUMMYFUNCTION("GOOGLEFINANCE(A202,""volume"")"),0)</f>
        <v>0</v>
      </c>
      <c r="J202" s="13">
        <f ca="1">IFERROR(__xludf.DUMMYFUNCTION("GOOGLEFINANCE(A202,""volumeavg"")"),3927767)</f>
        <v>3927767</v>
      </c>
      <c r="K202" s="15">
        <f ca="1">IFERROR(__xludf.DUMMYFUNCTION("GOOGLEFINANCE(A202,""high52"")"),24.37)</f>
        <v>24.37</v>
      </c>
      <c r="L202" s="15">
        <f ca="1">IFERROR(__xludf.DUMMYFUNCTION("GOOGLEFINANCE(A202,""low52"")"),15.45)</f>
        <v>15.45</v>
      </c>
      <c r="M202" s="7">
        <f t="shared" ca="1" si="0"/>
        <v>45379.717931597224</v>
      </c>
    </row>
    <row r="203" spans="1:13">
      <c r="A203" s="4" t="s">
        <v>214</v>
      </c>
      <c r="B203" s="5" t="str">
        <f ca="1">IFERROR(__xludf.DUMMYFUNCTION("GoogleFinance(A203, ""name"")"),"Gilead Sciences, Inc.")</f>
        <v>Gilead Sciences, Inc.</v>
      </c>
      <c r="C203" s="15">
        <f ca="1">IFERROR(__xludf.DUMMYFUNCTION("GoogleFinance(A203, ""price"")"),73.25)</f>
        <v>73.25</v>
      </c>
      <c r="D203" s="6">
        <f ca="1">IFERROR(__xludf.DUMMYFUNCTION("GoogleFinance(A203, ""eps"")"),4.5)</f>
        <v>4.5</v>
      </c>
      <c r="E203" s="6">
        <f ca="1">IFERROR(__xludf.DUMMYFUNCTION("GOOGLEFINANCE(A203,""pe"")"),16.27)</f>
        <v>16.27</v>
      </c>
      <c r="F203" s="6">
        <f ca="1">IFERROR(__xludf.DUMMYFUNCTION("GoogleFinance(A203, ""beta"")"),0.19)</f>
        <v>0.19</v>
      </c>
      <c r="G203" s="13">
        <f ca="1">IFERROR(__xludf.DUMMYFUNCTION("GOOGLEFINANCE(A203,""shares"")"),1245775000)</f>
        <v>1245775000</v>
      </c>
      <c r="H203" s="10">
        <f ca="1">IFERROR(__xludf.DUMMYFUNCTION("GOOGLEFINANCE(A203,""marketcap"")"),91252945500)</f>
        <v>91252945500</v>
      </c>
      <c r="I203" s="13">
        <f ca="1">IFERROR(__xludf.DUMMYFUNCTION("GOOGLEFINANCE(A203,""volume"")"),8369673)</f>
        <v>8369673</v>
      </c>
      <c r="J203" s="13">
        <f ca="1">IFERROR(__xludf.DUMMYFUNCTION("GOOGLEFINANCE(A203,""volumeavg"")"),7254628)</f>
        <v>7254628</v>
      </c>
      <c r="K203" s="15">
        <f ca="1">IFERROR(__xludf.DUMMYFUNCTION("GOOGLEFINANCE(A203,""high52"")"),87.87)</f>
        <v>87.87</v>
      </c>
      <c r="L203" s="15">
        <f ca="1">IFERROR(__xludf.DUMMYFUNCTION("GOOGLEFINANCE(A203,""low52"")"),71.37)</f>
        <v>71.37</v>
      </c>
      <c r="M203" s="7">
        <f t="shared" ca="1" si="0"/>
        <v>45379.717931597224</v>
      </c>
    </row>
    <row r="204" spans="1:13">
      <c r="A204" s="4" t="s">
        <v>215</v>
      </c>
      <c r="B204" s="5" t="str">
        <f ca="1">IFERROR(__xludf.DUMMYFUNCTION("GoogleFinance(A204, ""name"")"),"General Mills Inc")</f>
        <v>General Mills Inc</v>
      </c>
      <c r="C204" s="15">
        <f ca="1">IFERROR(__xludf.DUMMYFUNCTION("GoogleFinance(A204, ""price"")"),69.97)</f>
        <v>69.97</v>
      </c>
      <c r="D204" s="6">
        <f ca="1">IFERROR(__xludf.DUMMYFUNCTION("GoogleFinance(A204, ""eps"")"),4.36)</f>
        <v>4.3600000000000003</v>
      </c>
      <c r="E204" s="6">
        <f ca="1">IFERROR(__xludf.DUMMYFUNCTION("GOOGLEFINANCE(A204,""pe"")"),16.05)</f>
        <v>16.05</v>
      </c>
      <c r="F204" s="6">
        <f ca="1">IFERROR(__xludf.DUMMYFUNCTION("GoogleFinance(A204, ""beta"")"),0.14)</f>
        <v>0.14000000000000001</v>
      </c>
      <c r="G204" s="13">
        <f ca="1">IFERROR(__xludf.DUMMYFUNCTION("GOOGLEFINANCE(A204,""shares"")"),564549000)</f>
        <v>564549000</v>
      </c>
      <c r="H204" s="10">
        <f ca="1">IFERROR(__xludf.DUMMYFUNCTION("GOOGLEFINANCE(A204,""marketcap"")"),39501480225)</f>
        <v>39501480225</v>
      </c>
      <c r="I204" s="13">
        <f ca="1">IFERROR(__xludf.DUMMYFUNCTION("GOOGLEFINANCE(A204,""volume"")"),5995283)</f>
        <v>5995283</v>
      </c>
      <c r="J204" s="13">
        <f ca="1">IFERROR(__xludf.DUMMYFUNCTION("GOOGLEFINANCE(A204,""volumeavg"")"),4556454)</f>
        <v>4556454</v>
      </c>
      <c r="K204" s="15">
        <f ca="1">IFERROR(__xludf.DUMMYFUNCTION("GOOGLEFINANCE(A204,""high52"")"),90.89)</f>
        <v>90.89</v>
      </c>
      <c r="L204" s="15">
        <f ca="1">IFERROR(__xludf.DUMMYFUNCTION("GOOGLEFINANCE(A204,""low52"")"),60.33)</f>
        <v>60.33</v>
      </c>
      <c r="M204" s="7">
        <f t="shared" ca="1" si="0"/>
        <v>45379.717931597224</v>
      </c>
    </row>
    <row r="205" spans="1:13">
      <c r="A205" s="4" t="s">
        <v>216</v>
      </c>
      <c r="B205" s="5" t="str">
        <f ca="1">IFERROR(__xludf.DUMMYFUNCTION("GoogleFinance(A205, ""name"")"),"Globe Life Inc")</f>
        <v>Globe Life Inc</v>
      </c>
      <c r="C205" s="15">
        <f ca="1">IFERROR(__xludf.DUMMYFUNCTION("GoogleFinance(A205, ""price"")"),116.37)</f>
        <v>116.37</v>
      </c>
      <c r="D205" s="6">
        <f ca="1">IFERROR(__xludf.DUMMYFUNCTION("GoogleFinance(A205, ""eps"")"),10.07)</f>
        <v>10.07</v>
      </c>
      <c r="E205" s="6">
        <f ca="1">IFERROR(__xludf.DUMMYFUNCTION("GOOGLEFINANCE(A205,""pe"")"),11.55)</f>
        <v>11.55</v>
      </c>
      <c r="F205" s="6">
        <f ca="1">IFERROR(__xludf.DUMMYFUNCTION("GoogleFinance(A205, ""beta"")"),0.7)</f>
        <v>0.7</v>
      </c>
      <c r="G205" s="13">
        <f ca="1">IFERROR(__xludf.DUMMYFUNCTION("GOOGLEFINANCE(A205,""shares"")"),93708000)</f>
        <v>93708000</v>
      </c>
      <c r="H205" s="10">
        <f ca="1">IFERROR(__xludf.DUMMYFUNCTION("GOOGLEFINANCE(A205,""marketcap"")"),10943070820)</f>
        <v>10943070820</v>
      </c>
      <c r="I205" s="13">
        <f ca="1">IFERROR(__xludf.DUMMYFUNCTION("GOOGLEFINANCE(A205,""volume"")"),1033765)</f>
        <v>1033765</v>
      </c>
      <c r="J205" s="13">
        <f ca="1">IFERROR(__xludf.DUMMYFUNCTION("GOOGLEFINANCE(A205,""volumeavg"")"),830500)</f>
        <v>830500</v>
      </c>
      <c r="K205" s="15">
        <f ca="1">IFERROR(__xludf.DUMMYFUNCTION("GOOGLEFINANCE(A205,""high52"")"),132)</f>
        <v>132</v>
      </c>
      <c r="L205" s="15">
        <f ca="1">IFERROR(__xludf.DUMMYFUNCTION("GOOGLEFINANCE(A205,""low52"")"),102.23)</f>
        <v>102.23</v>
      </c>
      <c r="M205" s="7">
        <f t="shared" ca="1" si="0"/>
        <v>45379.717931597224</v>
      </c>
    </row>
    <row r="206" spans="1:13">
      <c r="A206" s="4" t="s">
        <v>217</v>
      </c>
      <c r="B206" s="5" t="str">
        <f ca="1">IFERROR(__xludf.DUMMYFUNCTION("GoogleFinance(A206, ""name"")"),"Corning Inc")</f>
        <v>Corning Inc</v>
      </c>
      <c r="C206" s="15">
        <f ca="1">IFERROR(__xludf.DUMMYFUNCTION("GoogleFinance(A206, ""price"")"),32.96)</f>
        <v>32.96</v>
      </c>
      <c r="D206" s="6">
        <f ca="1">IFERROR(__xludf.DUMMYFUNCTION("GoogleFinance(A206, ""eps"")"),0.68)</f>
        <v>0.68</v>
      </c>
      <c r="E206" s="6">
        <f ca="1">IFERROR(__xludf.DUMMYFUNCTION("GOOGLEFINANCE(A206,""pe"")"),48.73)</f>
        <v>48.73</v>
      </c>
      <c r="F206" s="6">
        <f ca="1">IFERROR(__xludf.DUMMYFUNCTION("GoogleFinance(A206, ""beta"")"),1.08)</f>
        <v>1.08</v>
      </c>
      <c r="G206" s="13">
        <f ca="1">IFERROR(__xludf.DUMMYFUNCTION("GOOGLEFINANCE(A206,""shares"")"),853474000)</f>
        <v>853474000</v>
      </c>
      <c r="H206" s="10">
        <f ca="1">IFERROR(__xludf.DUMMYFUNCTION("GOOGLEFINANCE(A206,""marketcap"")"),28192417616)</f>
        <v>28192417616</v>
      </c>
      <c r="I206" s="13">
        <f ca="1">IFERROR(__xludf.DUMMYFUNCTION("GOOGLEFINANCE(A206,""volume"")"),3939062)</f>
        <v>3939062</v>
      </c>
      <c r="J206" s="13">
        <f ca="1">IFERROR(__xludf.DUMMYFUNCTION("GOOGLEFINANCE(A206,""volumeavg"")"),4528372)</f>
        <v>4528372</v>
      </c>
      <c r="K206" s="15">
        <f ca="1">IFERROR(__xludf.DUMMYFUNCTION("GOOGLEFINANCE(A206,""high52"")"),36.02)</f>
        <v>36.020000000000003</v>
      </c>
      <c r="L206" s="15">
        <f ca="1">IFERROR(__xludf.DUMMYFUNCTION("GOOGLEFINANCE(A206,""low52"")"),25.26)</f>
        <v>25.26</v>
      </c>
      <c r="M206" s="7">
        <f t="shared" ca="1" si="0"/>
        <v>45379.717931597224</v>
      </c>
    </row>
    <row r="207" spans="1:13">
      <c r="A207" s="4" t="s">
        <v>218</v>
      </c>
      <c r="B207" s="5" t="str">
        <f ca="1">IFERROR(__xludf.DUMMYFUNCTION("GoogleFinance(A207, ""name"")"),"General Motors Co")</f>
        <v>General Motors Co</v>
      </c>
      <c r="C207" s="15">
        <f ca="1">IFERROR(__xludf.DUMMYFUNCTION("GoogleFinance(A207, ""price"")"),45.35)</f>
        <v>45.35</v>
      </c>
      <c r="D207" s="6">
        <f ca="1">IFERROR(__xludf.DUMMYFUNCTION("GoogleFinance(A207, ""eps"")"),7.32)</f>
        <v>7.32</v>
      </c>
      <c r="E207" s="6">
        <f ca="1">IFERROR(__xludf.DUMMYFUNCTION("GOOGLEFINANCE(A207,""pe"")"),6.19)</f>
        <v>6.19</v>
      </c>
      <c r="F207" s="6">
        <f ca="1">IFERROR(__xludf.DUMMYFUNCTION("GoogleFinance(A207, ""beta"")"),1.49)</f>
        <v>1.49</v>
      </c>
      <c r="G207" s="13">
        <f ca="1">IFERROR(__xludf.DUMMYFUNCTION("GOOGLEFINANCE(A207,""shares"")"),1154433000)</f>
        <v>1154433000</v>
      </c>
      <c r="H207" s="10">
        <f ca="1">IFERROR(__xludf.DUMMYFUNCTION("GOOGLEFINANCE(A207,""marketcap"")"),52353534788)</f>
        <v>52353534788</v>
      </c>
      <c r="I207" s="13">
        <f ca="1">IFERROR(__xludf.DUMMYFUNCTION("GOOGLEFINANCE(A207,""volume"")"),14765407)</f>
        <v>14765407</v>
      </c>
      <c r="J207" s="13">
        <f ca="1">IFERROR(__xludf.DUMMYFUNCTION("GOOGLEFINANCE(A207,""volumeavg"")"),17690497)</f>
        <v>17690497</v>
      </c>
      <c r="K207" s="15">
        <f ca="1">IFERROR(__xludf.DUMMYFUNCTION("GOOGLEFINANCE(A207,""high52"")"),45.54)</f>
        <v>45.54</v>
      </c>
      <c r="L207" s="15">
        <f ca="1">IFERROR(__xludf.DUMMYFUNCTION("GOOGLEFINANCE(A207,""low52"")"),26.3)</f>
        <v>26.3</v>
      </c>
      <c r="M207" s="7">
        <f t="shared" ca="1" si="0"/>
        <v>45379.717931597224</v>
      </c>
    </row>
    <row r="208" spans="1:13">
      <c r="A208" s="4" t="s">
        <v>219</v>
      </c>
      <c r="B208" s="5" t="str">
        <f ca="1">IFERROR(__xludf.DUMMYFUNCTION("GoogleFinance(A208, ""name"")"),"Generac Holdings Inc")</f>
        <v>Generac Holdings Inc</v>
      </c>
      <c r="C208" s="15">
        <f ca="1">IFERROR(__xludf.DUMMYFUNCTION("GoogleFinance(A208, ""price"")"),126.14)</f>
        <v>126.14</v>
      </c>
      <c r="D208" s="6">
        <f ca="1">IFERROR(__xludf.DUMMYFUNCTION("GoogleFinance(A208, ""eps"")"),3.27)</f>
        <v>3.27</v>
      </c>
      <c r="E208" s="6">
        <f ca="1">IFERROR(__xludf.DUMMYFUNCTION("GOOGLEFINANCE(A208,""pe"")"),38.54)</f>
        <v>38.54</v>
      </c>
      <c r="F208" s="6">
        <f ca="1">IFERROR(__xludf.DUMMYFUNCTION("GoogleFinance(A208, ""beta"")"),1.44)</f>
        <v>1.44</v>
      </c>
      <c r="G208" s="13">
        <f ca="1">IFERROR(__xludf.DUMMYFUNCTION("GOOGLEFINANCE(A208,""shares"")"),60269000)</f>
        <v>60269000</v>
      </c>
      <c r="H208" s="10">
        <f ca="1">IFERROR(__xludf.DUMMYFUNCTION("GOOGLEFINANCE(A208,""marketcap"")"),7602369465)</f>
        <v>7602369465</v>
      </c>
      <c r="I208" s="13">
        <f ca="1">IFERROR(__xludf.DUMMYFUNCTION("GOOGLEFINANCE(A208,""volume"")"),1256070)</f>
        <v>1256070</v>
      </c>
      <c r="J208" s="13">
        <f ca="1">IFERROR(__xludf.DUMMYFUNCTION("GOOGLEFINANCE(A208,""volumeavg"")"),1112377)</f>
        <v>1112377</v>
      </c>
      <c r="K208" s="15">
        <f ca="1">IFERROR(__xludf.DUMMYFUNCTION("GOOGLEFINANCE(A208,""high52"")"),156.95)</f>
        <v>156.94999999999999</v>
      </c>
      <c r="L208" s="15">
        <f ca="1">IFERROR(__xludf.DUMMYFUNCTION("GOOGLEFINANCE(A208,""low52"")"),79.86)</f>
        <v>79.86</v>
      </c>
      <c r="M208" s="7">
        <f t="shared" ca="1" si="0"/>
        <v>45379.717931597224</v>
      </c>
    </row>
    <row r="209" spans="1:13">
      <c r="A209" s="4" t="s">
        <v>220</v>
      </c>
      <c r="B209" s="5" t="str">
        <f ca="1">IFERROR(__xludf.DUMMYFUNCTION("GoogleFinance(A209, ""name"")"),"Alphabet Inc Class C")</f>
        <v>Alphabet Inc Class C</v>
      </c>
      <c r="C209" s="15">
        <f ca="1">IFERROR(__xludf.DUMMYFUNCTION("GoogleFinance(A209, ""price"")"),152.26)</f>
        <v>152.26</v>
      </c>
      <c r="D209" s="6">
        <f ca="1">IFERROR(__xludf.DUMMYFUNCTION("GoogleFinance(A209, ""eps"")"),5.43)</f>
        <v>5.43</v>
      </c>
      <c r="E209" s="6">
        <f ca="1">IFERROR(__xludf.DUMMYFUNCTION("GOOGLEFINANCE(A209,""pe"")"),28.06)</f>
        <v>28.06</v>
      </c>
      <c r="F209" s="6">
        <f ca="1">IFERROR(__xludf.DUMMYFUNCTION("GoogleFinance(A209, ""beta"")"),1.05)</f>
        <v>1.05</v>
      </c>
      <c r="G209" s="13">
        <f ca="1">IFERROR(__xludf.DUMMYFUNCTION("GOOGLEFINANCE(A209,""shares"")"),5671000000)</f>
        <v>5671000000</v>
      </c>
      <c r="H209" s="10">
        <f ca="1">IFERROR(__xludf.DUMMYFUNCTION("GOOGLEFINANCE(A209,""marketcap"")"),1882583003243)</f>
        <v>1882583003243</v>
      </c>
      <c r="I209" s="13">
        <f ca="1">IFERROR(__xludf.DUMMYFUNCTION("GOOGLEFINANCE(A209,""volume"")"),21104207)</f>
        <v>21104207</v>
      </c>
      <c r="J209" s="13">
        <f ca="1">IFERROR(__xludf.DUMMYFUNCTION("GOOGLEFINANCE(A209,""volumeavg"")"),25146531)</f>
        <v>25146531</v>
      </c>
      <c r="K209" s="15">
        <f ca="1">IFERROR(__xludf.DUMMYFUNCTION("GOOGLEFINANCE(A209,""high52"")"),155.2)</f>
        <v>155.19999999999999</v>
      </c>
      <c r="L209" s="15">
        <f ca="1">IFERROR(__xludf.DUMMYFUNCTION("GOOGLEFINANCE(A209,""low52"")"),100.29)</f>
        <v>100.29</v>
      </c>
      <c r="M209" s="7">
        <f t="shared" ca="1" si="0"/>
        <v>45379.717931597224</v>
      </c>
    </row>
    <row r="210" spans="1:13">
      <c r="A210" s="4" t="s">
        <v>221</v>
      </c>
      <c r="B210" s="5" t="str">
        <f ca="1">IFERROR(__xludf.DUMMYFUNCTION("GoogleFinance(A210, ""name"")"),"Alphabet Inc Class A")</f>
        <v>Alphabet Inc Class A</v>
      </c>
      <c r="C210" s="15">
        <f ca="1">IFERROR(__xludf.DUMMYFUNCTION("GoogleFinance(A210, ""price"")"),150.93)</f>
        <v>150.93</v>
      </c>
      <c r="D210" s="6">
        <f ca="1">IFERROR(__xludf.DUMMYFUNCTION("GoogleFinance(A210, ""eps"")"),5.43)</f>
        <v>5.43</v>
      </c>
      <c r="E210" s="6">
        <f ca="1">IFERROR(__xludf.DUMMYFUNCTION("GOOGLEFINANCE(A210,""pe"")"),27.81)</f>
        <v>27.81</v>
      </c>
      <c r="F210" s="6">
        <f ca="1">IFERROR(__xludf.DUMMYFUNCTION("GoogleFinance(A210, ""beta"")"),1.04)</f>
        <v>1.04</v>
      </c>
      <c r="G210" s="13">
        <f ca="1">IFERROR(__xludf.DUMMYFUNCTION("GOOGLEFINANCE(A210,""shares"")"),5893000000)</f>
        <v>5893000000</v>
      </c>
      <c r="H210" s="10">
        <f ca="1">IFERROR(__xludf.DUMMYFUNCTION("GOOGLEFINANCE(A210,""marketcap"")"),1882583003243)</f>
        <v>1882583003243</v>
      </c>
      <c r="I210" s="13">
        <f ca="1">IFERROR(__xludf.DUMMYFUNCTION("GOOGLEFINANCE(A210,""volume"")"),24483238)</f>
        <v>24483238</v>
      </c>
      <c r="J210" s="13">
        <f ca="1">IFERROR(__xludf.DUMMYFUNCTION("GOOGLEFINANCE(A210,""volumeavg"")"),33738945)</f>
        <v>33738945</v>
      </c>
      <c r="K210" s="15">
        <f ca="1">IFERROR(__xludf.DUMMYFUNCTION("GOOGLEFINANCE(A210,""high52"")"),153.78)</f>
        <v>153.78</v>
      </c>
      <c r="L210" s="15">
        <f ca="1">IFERROR(__xludf.DUMMYFUNCTION("GOOGLEFINANCE(A210,""low52"")"),99.78)</f>
        <v>99.78</v>
      </c>
      <c r="M210" s="7">
        <f t="shared" ca="1" si="0"/>
        <v>45379.717931597224</v>
      </c>
    </row>
    <row r="211" spans="1:13">
      <c r="A211" s="4" t="s">
        <v>222</v>
      </c>
      <c r="B211" s="5" t="str">
        <f ca="1">IFERROR(__xludf.DUMMYFUNCTION("GoogleFinance(A211, ""name"")"),"Genuine Parts Co")</f>
        <v>Genuine Parts Co</v>
      </c>
      <c r="C211" s="15">
        <f ca="1">IFERROR(__xludf.DUMMYFUNCTION("GoogleFinance(A211, ""price"")"),154.93)</f>
        <v>154.93</v>
      </c>
      <c r="D211" s="6">
        <f ca="1">IFERROR(__xludf.DUMMYFUNCTION("GoogleFinance(A211, ""eps"")"),9.33)</f>
        <v>9.33</v>
      </c>
      <c r="E211" s="6">
        <f ca="1">IFERROR(__xludf.DUMMYFUNCTION("GOOGLEFINANCE(A211,""pe"")"),16.6)</f>
        <v>16.600000000000001</v>
      </c>
      <c r="F211" s="6">
        <f ca="1">IFERROR(__xludf.DUMMYFUNCTION("GoogleFinance(A211, ""beta"")"),0.94)</f>
        <v>0.94</v>
      </c>
      <c r="G211" s="13">
        <f ca="1">IFERROR(__xludf.DUMMYFUNCTION("GOOGLEFINANCE(A211,""shares"")"),139423000)</f>
        <v>139423000</v>
      </c>
      <c r="H211" s="10">
        <f ca="1">IFERROR(__xludf.DUMMYFUNCTION("GOOGLEFINANCE(A211,""marketcap"")"),21600819861)</f>
        <v>21600819861</v>
      </c>
      <c r="I211" s="13">
        <f ca="1">IFERROR(__xludf.DUMMYFUNCTION("GOOGLEFINANCE(A211,""volume"")"),954266)</f>
        <v>954266</v>
      </c>
      <c r="J211" s="13">
        <f ca="1">IFERROR(__xludf.DUMMYFUNCTION("GOOGLEFINANCE(A211,""volumeavg"")"),1121383)</f>
        <v>1121383</v>
      </c>
      <c r="K211" s="15">
        <f ca="1">IFERROR(__xludf.DUMMYFUNCTION("GOOGLEFINANCE(A211,""high52"")"),174.91)</f>
        <v>174.91</v>
      </c>
      <c r="L211" s="15">
        <f ca="1">IFERROR(__xludf.DUMMYFUNCTION("GOOGLEFINANCE(A211,""low52"")"),126.35)</f>
        <v>126.35</v>
      </c>
      <c r="M211" s="7">
        <f t="shared" ca="1" si="0"/>
        <v>45379.717931597224</v>
      </c>
    </row>
    <row r="212" spans="1:13">
      <c r="A212" s="4" t="s">
        <v>223</v>
      </c>
      <c r="B212" s="5" t="str">
        <f ca="1">IFERROR(__xludf.DUMMYFUNCTION("GoogleFinance(A212, ""name"")"),"Global Payments Inc")</f>
        <v>Global Payments Inc</v>
      </c>
      <c r="C212" s="15">
        <f ca="1">IFERROR(__xludf.DUMMYFUNCTION("GoogleFinance(A212, ""price"")"),133.66)</f>
        <v>133.66</v>
      </c>
      <c r="D212" s="6">
        <f ca="1">IFERROR(__xludf.DUMMYFUNCTION("GoogleFinance(A212, ""eps"")"),3.77)</f>
        <v>3.77</v>
      </c>
      <c r="E212" s="6">
        <f ca="1">IFERROR(__xludf.DUMMYFUNCTION("GOOGLEFINANCE(A212,""pe"")"),35.47)</f>
        <v>35.47</v>
      </c>
      <c r="F212" s="6">
        <f ca="1">IFERROR(__xludf.DUMMYFUNCTION("GoogleFinance(A212, ""beta"")"),0.96)</f>
        <v>0.96</v>
      </c>
      <c r="G212" s="13">
        <f ca="1">IFERROR(__xludf.DUMMYFUNCTION("GOOGLEFINANCE(A212,""shares"")"),257985000)</f>
        <v>257985000</v>
      </c>
      <c r="H212" s="10">
        <f ca="1">IFERROR(__xludf.DUMMYFUNCTION("GOOGLEFINANCE(A212,""marketcap"")"),34094608570)</f>
        <v>34094608570</v>
      </c>
      <c r="I212" s="13">
        <f ca="1">IFERROR(__xludf.DUMMYFUNCTION("GOOGLEFINANCE(A212,""volume"")"),2350084)</f>
        <v>2350084</v>
      </c>
      <c r="J212" s="13">
        <f ca="1">IFERROR(__xludf.DUMMYFUNCTION("GOOGLEFINANCE(A212,""volumeavg"")"),2899948)</f>
        <v>2899948</v>
      </c>
      <c r="K212" s="15">
        <f ca="1">IFERROR(__xludf.DUMMYFUNCTION("GOOGLEFINANCE(A212,""high52"")"),141.78)</f>
        <v>141.78</v>
      </c>
      <c r="L212" s="15">
        <f ca="1">IFERROR(__xludf.DUMMYFUNCTION("GOOGLEFINANCE(A212,""low52"")"),95.12)</f>
        <v>95.12</v>
      </c>
      <c r="M212" s="7">
        <f t="shared" ca="1" si="0"/>
        <v>45379.717931597224</v>
      </c>
    </row>
    <row r="213" spans="1:13">
      <c r="A213" s="4" t="s">
        <v>224</v>
      </c>
      <c r="B213" s="5" t="str">
        <f ca="1">IFERROR(__xludf.DUMMYFUNCTION("GoogleFinance(A213, ""name"")"),"Garmin Ltd")</f>
        <v>Garmin Ltd</v>
      </c>
      <c r="C213" s="15">
        <f ca="1">IFERROR(__xludf.DUMMYFUNCTION("GoogleFinance(A213, ""price"")"),148.87)</f>
        <v>148.87</v>
      </c>
      <c r="D213" s="6">
        <f ca="1">IFERROR(__xludf.DUMMYFUNCTION("GoogleFinance(A213, ""eps"")"),5.86)</f>
        <v>5.86</v>
      </c>
      <c r="E213" s="6">
        <f ca="1">IFERROR(__xludf.DUMMYFUNCTION("GOOGLEFINANCE(A213,""pe"")"),22.87)</f>
        <v>22.87</v>
      </c>
      <c r="F213" s="6">
        <f ca="1">IFERROR(__xludf.DUMMYFUNCTION("GoogleFinance(A213, ""beta"")"),0.95)</f>
        <v>0.95</v>
      </c>
      <c r="G213" s="13">
        <f ca="1">IFERROR(__xludf.DUMMYFUNCTION("GOOGLEFINANCE(A213,""shares"")"),192322000)</f>
        <v>192322000</v>
      </c>
      <c r="H213" s="10">
        <f ca="1">IFERROR(__xludf.DUMMYFUNCTION("GOOGLEFINANCE(A213,""marketcap"")"),28549900601)</f>
        <v>28549900601</v>
      </c>
      <c r="I213" s="13">
        <f ca="1">IFERROR(__xludf.DUMMYFUNCTION("GOOGLEFINANCE(A213,""volume"")"),859568)</f>
        <v>859568</v>
      </c>
      <c r="J213" s="13">
        <f ca="1">IFERROR(__xludf.DUMMYFUNCTION("GOOGLEFINANCE(A213,""volumeavg"")"),1217956)</f>
        <v>1217956</v>
      </c>
      <c r="K213" s="15">
        <f ca="1">IFERROR(__xludf.DUMMYFUNCTION("GOOGLEFINANCE(A213,""high52"")"),149.54)</f>
        <v>149.54</v>
      </c>
      <c r="L213" s="15">
        <f ca="1">IFERROR(__xludf.DUMMYFUNCTION("GOOGLEFINANCE(A213,""low52"")"),94.89)</f>
        <v>94.89</v>
      </c>
      <c r="M213" s="7">
        <f t="shared" ca="1" si="0"/>
        <v>45379.717931597224</v>
      </c>
    </row>
    <row r="214" spans="1:13">
      <c r="A214" s="4" t="s">
        <v>225</v>
      </c>
      <c r="B214" s="5" t="str">
        <f ca="1">IFERROR(__xludf.DUMMYFUNCTION("GoogleFinance(A214, ""name"")"),"Goldman Sachs Group Inc")</f>
        <v>Goldman Sachs Group Inc</v>
      </c>
      <c r="C214" s="15">
        <f ca="1">IFERROR(__xludf.DUMMYFUNCTION("GoogleFinance(A214, ""price"")"),417.69)</f>
        <v>417.69</v>
      </c>
      <c r="D214" s="6">
        <f ca="1">IFERROR(__xludf.DUMMYFUNCTION("GoogleFinance(A214, ""eps"")"),22.87)</f>
        <v>22.87</v>
      </c>
      <c r="E214" s="6">
        <f ca="1">IFERROR(__xludf.DUMMYFUNCTION("GOOGLEFINANCE(A214,""pe"")"),18.27)</f>
        <v>18.27</v>
      </c>
      <c r="F214" s="6">
        <f ca="1">IFERROR(__xludf.DUMMYFUNCTION("GoogleFinance(A214, ""beta"")"),1.41)</f>
        <v>1.41</v>
      </c>
      <c r="G214" s="13">
        <f ca="1">IFERROR(__xludf.DUMMYFUNCTION("GOOGLEFINANCE(A214,""shares"")"),325563000)</f>
        <v>325563000</v>
      </c>
      <c r="H214" s="10">
        <f ca="1">IFERROR(__xludf.DUMMYFUNCTION("GOOGLEFINANCE(A214,""marketcap"")"),135984243188)</f>
        <v>135984243188</v>
      </c>
      <c r="I214" s="13">
        <f ca="1">IFERROR(__xludf.DUMMYFUNCTION("GOOGLEFINANCE(A214,""volume"")"),2409716)</f>
        <v>2409716</v>
      </c>
      <c r="J214" s="13">
        <f ca="1">IFERROR(__xludf.DUMMYFUNCTION("GOOGLEFINANCE(A214,""volumeavg"")"),2189654)</f>
        <v>2189654</v>
      </c>
      <c r="K214" s="15">
        <f ca="1">IFERROR(__xludf.DUMMYFUNCTION("GOOGLEFINANCE(A214,""high52"")"),419.2)</f>
        <v>419.2</v>
      </c>
      <c r="L214" s="15">
        <f ca="1">IFERROR(__xludf.DUMMYFUNCTION("GOOGLEFINANCE(A214,""low52"")"),289.36)</f>
        <v>289.36</v>
      </c>
      <c r="M214" s="7">
        <f t="shared" ca="1" si="0"/>
        <v>45379.717931597224</v>
      </c>
    </row>
    <row r="215" spans="1:13">
      <c r="A215" s="4" t="s">
        <v>226</v>
      </c>
      <c r="B215" s="5" t="str">
        <f ca="1">IFERROR(__xludf.DUMMYFUNCTION("GoogleFinance(A215, ""name"")"),"WW Grainger Inc")</f>
        <v>WW Grainger Inc</v>
      </c>
      <c r="C215" s="15">
        <f ca="1">IFERROR(__xludf.DUMMYFUNCTION("GoogleFinance(A215, ""price"")"),1017.3)</f>
        <v>1017.3</v>
      </c>
      <c r="D215" s="6">
        <f ca="1">IFERROR(__xludf.DUMMYFUNCTION("GoogleFinance(A215, ""eps"")"),36.51)</f>
        <v>36.51</v>
      </c>
      <c r="E215" s="6">
        <f ca="1">IFERROR(__xludf.DUMMYFUNCTION("GOOGLEFINANCE(A215,""pe"")"),27.87)</f>
        <v>27.87</v>
      </c>
      <c r="F215" s="6">
        <f ca="1">IFERROR(__xludf.DUMMYFUNCTION("GoogleFinance(A215, ""beta"")"),1.14)</f>
        <v>1.1399999999999999</v>
      </c>
      <c r="G215" s="13">
        <f ca="1">IFERROR(__xludf.DUMMYFUNCTION("GOOGLEFINANCE(A215,""shares"")"),49173000)</f>
        <v>49173000</v>
      </c>
      <c r="H215" s="10">
        <f ca="1">IFERROR(__xludf.DUMMYFUNCTION("GOOGLEFINANCE(A215,""marketcap"")"),49983213933)</f>
        <v>49983213933</v>
      </c>
      <c r="I215" s="13">
        <f ca="1">IFERROR(__xludf.DUMMYFUNCTION("GOOGLEFINANCE(A215,""volume"")"),165154)</f>
        <v>165154</v>
      </c>
      <c r="J215" s="13">
        <f ca="1">IFERROR(__xludf.DUMMYFUNCTION("GOOGLEFINANCE(A215,""volumeavg"")"),197876)</f>
        <v>197876</v>
      </c>
      <c r="K215" s="15">
        <f ca="1">IFERROR(__xludf.DUMMYFUNCTION("GOOGLEFINANCE(A215,""high52"")"),1034.18)</f>
        <v>1034.18</v>
      </c>
      <c r="L215" s="15">
        <f ca="1">IFERROR(__xludf.DUMMYFUNCTION("GOOGLEFINANCE(A215,""low52"")"),625.97)</f>
        <v>625.97</v>
      </c>
      <c r="M215" s="7">
        <f t="shared" ca="1" si="0"/>
        <v>45379.717931597224</v>
      </c>
    </row>
    <row r="216" spans="1:13">
      <c r="A216" s="4" t="s">
        <v>227</v>
      </c>
      <c r="B216" s="5" t="str">
        <f ca="1">IFERROR(__xludf.DUMMYFUNCTION("GoogleFinance(A216, ""name"")"),"Halliburton Company")</f>
        <v>Halliburton Company</v>
      </c>
      <c r="C216" s="15">
        <f ca="1">IFERROR(__xludf.DUMMYFUNCTION("GoogleFinance(A216, ""price"")"),39.42)</f>
        <v>39.42</v>
      </c>
      <c r="D216" s="6">
        <f ca="1">IFERROR(__xludf.DUMMYFUNCTION("GoogleFinance(A216, ""eps"")"),2.92)</f>
        <v>2.92</v>
      </c>
      <c r="E216" s="6">
        <f ca="1">IFERROR(__xludf.DUMMYFUNCTION("GOOGLEFINANCE(A216,""pe"")"),13.48)</f>
        <v>13.48</v>
      </c>
      <c r="F216" s="6">
        <f ca="1">IFERROR(__xludf.DUMMYFUNCTION("GoogleFinance(A216, ""beta"")"),1.99)</f>
        <v>1.99</v>
      </c>
      <c r="G216" s="13">
        <f ca="1">IFERROR(__xludf.DUMMYFUNCTION("GOOGLEFINANCE(A216,""shares"")"),890102000)</f>
        <v>890102000</v>
      </c>
      <c r="H216" s="10">
        <f ca="1">IFERROR(__xludf.DUMMYFUNCTION("GOOGLEFINANCE(A216,""marketcap"")"),35087795558)</f>
        <v>35087795558</v>
      </c>
      <c r="I216" s="13">
        <f ca="1">IFERROR(__xludf.DUMMYFUNCTION("GOOGLEFINANCE(A216,""volume"")"),5828639)</f>
        <v>5828639</v>
      </c>
      <c r="J216" s="13">
        <f ca="1">IFERROR(__xludf.DUMMYFUNCTION("GOOGLEFINANCE(A216,""volumeavg"")"),6690065)</f>
        <v>6690065</v>
      </c>
      <c r="K216" s="15">
        <f ca="1">IFERROR(__xludf.DUMMYFUNCTION("GOOGLEFINANCE(A216,""high52"")"),43.85)</f>
        <v>43.85</v>
      </c>
      <c r="L216" s="15">
        <f ca="1">IFERROR(__xludf.DUMMYFUNCTION("GOOGLEFINANCE(A216,""low52"")"),27.84)</f>
        <v>27.84</v>
      </c>
      <c r="M216" s="7">
        <f t="shared" ca="1" si="0"/>
        <v>45379.717931597224</v>
      </c>
    </row>
    <row r="217" spans="1:13">
      <c r="A217" s="4" t="s">
        <v>228</v>
      </c>
      <c r="B217" s="5" t="str">
        <f ca="1">IFERROR(__xludf.DUMMYFUNCTION("GoogleFinance(A217, ""name"")"),"Hasbro Inc")</f>
        <v>Hasbro Inc</v>
      </c>
      <c r="C217" s="15">
        <f ca="1">IFERROR(__xludf.DUMMYFUNCTION("GoogleFinance(A217, ""price"")"),56.52)</f>
        <v>56.52</v>
      </c>
      <c r="D217" s="6">
        <f ca="1">IFERROR(__xludf.DUMMYFUNCTION("GoogleFinance(A217, ""eps"")"),-10.73)</f>
        <v>-10.73</v>
      </c>
      <c r="E217" s="6" t="str">
        <f ca="1">IFERROR(__xludf.DUMMYFUNCTION("GOOGLEFINANCE(A217,""pe"")"),"#N/A")</f>
        <v>#N/A</v>
      </c>
      <c r="F217" s="6">
        <f ca="1">IFERROR(__xludf.DUMMYFUNCTION("GoogleFinance(A217, ""beta"")"),0.73)</f>
        <v>0.73</v>
      </c>
      <c r="G217" s="13">
        <f ca="1">IFERROR(__xludf.DUMMYFUNCTION("GOOGLEFINANCE(A217,""shares"")"),138791000)</f>
        <v>138791000</v>
      </c>
      <c r="H217" s="10">
        <f ca="1">IFERROR(__xludf.DUMMYFUNCTION("GOOGLEFINANCE(A217,""marketcap"")"),7844489991)</f>
        <v>7844489991</v>
      </c>
      <c r="I217" s="13">
        <f ca="1">IFERROR(__xludf.DUMMYFUNCTION("GOOGLEFINANCE(A217,""volume"")"),1079892)</f>
        <v>1079892</v>
      </c>
      <c r="J217" s="13">
        <f ca="1">IFERROR(__xludf.DUMMYFUNCTION("GOOGLEFINANCE(A217,""volumeavg"")"),1650013)</f>
        <v>1650013</v>
      </c>
      <c r="K217" s="15">
        <f ca="1">IFERROR(__xludf.DUMMYFUNCTION("GOOGLEFINANCE(A217,""high52"")"),73.58)</f>
        <v>73.58</v>
      </c>
      <c r="L217" s="15">
        <f ca="1">IFERROR(__xludf.DUMMYFUNCTION("GOOGLEFINANCE(A217,""low52"")"),42.66)</f>
        <v>42.66</v>
      </c>
      <c r="M217" s="7">
        <f t="shared" ca="1" si="0"/>
        <v>45379.717931597224</v>
      </c>
    </row>
    <row r="218" spans="1:13">
      <c r="A218" s="4" t="s">
        <v>229</v>
      </c>
      <c r="B218" s="5" t="str">
        <f ca="1">IFERROR(__xludf.DUMMYFUNCTION("GoogleFinance(A218, ""name"")"),"Huntington Bancshares Incorporated")</f>
        <v>Huntington Bancshares Incorporated</v>
      </c>
      <c r="C218" s="15">
        <f ca="1">IFERROR(__xludf.DUMMYFUNCTION("GoogleFinance(A218, ""price"")"),13.95)</f>
        <v>13.95</v>
      </c>
      <c r="D218" s="6">
        <f ca="1">IFERROR(__xludf.DUMMYFUNCTION("GoogleFinance(A218, ""eps"")"),1.24)</f>
        <v>1.24</v>
      </c>
      <c r="E218" s="6">
        <f ca="1">IFERROR(__xludf.DUMMYFUNCTION("GOOGLEFINANCE(A218,""pe"")"),11.27)</f>
        <v>11.27</v>
      </c>
      <c r="F218" s="6">
        <f ca="1">IFERROR(__xludf.DUMMYFUNCTION("GoogleFinance(A218, ""beta"")"),1.09)</f>
        <v>1.0900000000000001</v>
      </c>
      <c r="G218" s="13">
        <f ca="1">IFERROR(__xludf.DUMMYFUNCTION("GOOGLEFINANCE(A218,""shares"")"),1455813000)</f>
        <v>1455813000</v>
      </c>
      <c r="H218" s="10">
        <f ca="1">IFERROR(__xludf.DUMMYFUNCTION("GOOGLEFINANCE(A218,""marketcap"")"),20308577122)</f>
        <v>20308577122</v>
      </c>
      <c r="I218" s="13">
        <f ca="1">IFERROR(__xludf.DUMMYFUNCTION("GOOGLEFINANCE(A218,""volume"")"),15288088)</f>
        <v>15288088</v>
      </c>
      <c r="J218" s="13">
        <f ca="1">IFERROR(__xludf.DUMMYFUNCTION("GOOGLEFINANCE(A218,""volumeavg"")"),17424794)</f>
        <v>17424794</v>
      </c>
      <c r="K218" s="15">
        <f ca="1">IFERROR(__xludf.DUMMYFUNCTION("GOOGLEFINANCE(A218,""high52"")"),13.97)</f>
        <v>13.97</v>
      </c>
      <c r="L218" s="15">
        <f ca="1">IFERROR(__xludf.DUMMYFUNCTION("GOOGLEFINANCE(A218,""low52"")"),9.13)</f>
        <v>9.1300000000000008</v>
      </c>
      <c r="M218" s="7">
        <f t="shared" ca="1" si="0"/>
        <v>45379.717931597224</v>
      </c>
    </row>
    <row r="219" spans="1:13">
      <c r="A219" s="4" t="s">
        <v>230</v>
      </c>
      <c r="B219" s="5" t="str">
        <f ca="1">IFERROR(__xludf.DUMMYFUNCTION("GoogleFinance(A219, ""name"")"),"HCA Healthcare Inc")</f>
        <v>HCA Healthcare Inc</v>
      </c>
      <c r="C219" s="15">
        <f ca="1">IFERROR(__xludf.DUMMYFUNCTION("GoogleFinance(A219, ""price"")"),333.53)</f>
        <v>333.53</v>
      </c>
      <c r="D219" s="6">
        <f ca="1">IFERROR(__xludf.DUMMYFUNCTION("GoogleFinance(A219, ""eps"")"),18.96)</f>
        <v>18.96</v>
      </c>
      <c r="E219" s="6">
        <f ca="1">IFERROR(__xludf.DUMMYFUNCTION("GOOGLEFINANCE(A219,""pe"")"),17.59)</f>
        <v>17.59</v>
      </c>
      <c r="F219" s="6">
        <f ca="1">IFERROR(__xludf.DUMMYFUNCTION("GoogleFinance(A219, ""beta"")"),1.64)</f>
        <v>1.64</v>
      </c>
      <c r="G219" s="13">
        <f ca="1">IFERROR(__xludf.DUMMYFUNCTION("GOOGLEFINANCE(A219,""shares"")"),264499000)</f>
        <v>264499000</v>
      </c>
      <c r="H219" s="10">
        <f ca="1">IFERROR(__xludf.DUMMYFUNCTION("GOOGLEFINANCE(A219,""marketcap"")"),88213815139)</f>
        <v>88213815139</v>
      </c>
      <c r="I219" s="13">
        <f ca="1">IFERROR(__xludf.DUMMYFUNCTION("GOOGLEFINANCE(A219,""volume"")"),812722)</f>
        <v>812722</v>
      </c>
      <c r="J219" s="13">
        <f ca="1">IFERROR(__xludf.DUMMYFUNCTION("GOOGLEFINANCE(A219,""volumeavg"")"),931933)</f>
        <v>931933</v>
      </c>
      <c r="K219" s="15">
        <f ca="1">IFERROR(__xludf.DUMMYFUNCTION("GOOGLEFINANCE(A219,""high52"")"),334.49)</f>
        <v>334.49</v>
      </c>
      <c r="L219" s="15">
        <f ca="1">IFERROR(__xludf.DUMMYFUNCTION("GOOGLEFINANCE(A219,""low52"")"),215.96)</f>
        <v>215.96</v>
      </c>
      <c r="M219" s="7">
        <f t="shared" ca="1" si="0"/>
        <v>45379.717931597224</v>
      </c>
    </row>
    <row r="220" spans="1:13">
      <c r="A220" s="4" t="s">
        <v>231</v>
      </c>
      <c r="B220" s="5" t="str">
        <f ca="1">IFERROR(__xludf.DUMMYFUNCTION("GoogleFinance(A220, ""name"")"),"Home Depot Inc")</f>
        <v>Home Depot Inc</v>
      </c>
      <c r="C220" s="15">
        <f ca="1">IFERROR(__xludf.DUMMYFUNCTION("GoogleFinance(A220, ""price"")"),383.6)</f>
        <v>383.6</v>
      </c>
      <c r="D220" s="6">
        <f ca="1">IFERROR(__xludf.DUMMYFUNCTION("GoogleFinance(A220, ""eps"")"),15.11)</f>
        <v>15.11</v>
      </c>
      <c r="E220" s="6">
        <f ca="1">IFERROR(__xludf.DUMMYFUNCTION("GOOGLEFINANCE(A220,""pe"")"),25.38)</f>
        <v>25.38</v>
      </c>
      <c r="F220" s="6">
        <f ca="1">IFERROR(__xludf.DUMMYFUNCTION("GoogleFinance(A220, ""beta"")"),0.99)</f>
        <v>0.99</v>
      </c>
      <c r="G220" s="13">
        <f ca="1">IFERROR(__xludf.DUMMYFUNCTION("GOOGLEFINANCE(A220,""shares"")"),991016000)</f>
        <v>991016000</v>
      </c>
      <c r="H220" s="10">
        <f ca="1">IFERROR(__xludf.DUMMYFUNCTION("GOOGLEFINANCE(A220,""marketcap"")"),380153666928)</f>
        <v>380153666928</v>
      </c>
      <c r="I220" s="13">
        <f ca="1">IFERROR(__xludf.DUMMYFUNCTION("GOOGLEFINANCE(A220,""volume"")"),4108285)</f>
        <v>4108285</v>
      </c>
      <c r="J220" s="13">
        <f ca="1">IFERROR(__xludf.DUMMYFUNCTION("GOOGLEFINANCE(A220,""volumeavg"")"),3219115)</f>
        <v>3219115</v>
      </c>
      <c r="K220" s="15">
        <f ca="1">IFERROR(__xludf.DUMMYFUNCTION("GOOGLEFINANCE(A220,""high52"")"),396.87)</f>
        <v>396.87</v>
      </c>
      <c r="L220" s="15">
        <f ca="1">IFERROR(__xludf.DUMMYFUNCTION("GOOGLEFINANCE(A220,""low52"")"),274.26)</f>
        <v>274.26</v>
      </c>
      <c r="M220" s="7">
        <f t="shared" ca="1" si="0"/>
        <v>45379.717931597224</v>
      </c>
    </row>
    <row r="221" spans="1:13">
      <c r="A221" s="4" t="s">
        <v>232</v>
      </c>
      <c r="B221" s="5" t="str">
        <f ca="1">IFERROR(__xludf.DUMMYFUNCTION("GoogleFinance(A221, ""name"")"),"Hess Corp")</f>
        <v>Hess Corp</v>
      </c>
      <c r="C221" s="15">
        <f ca="1">IFERROR(__xludf.DUMMYFUNCTION("GoogleFinance(A221, ""price"")"),152.64)</f>
        <v>152.63999999999999</v>
      </c>
      <c r="D221" s="6">
        <f ca="1">IFERROR(__xludf.DUMMYFUNCTION("GoogleFinance(A221, ""eps"")"),4.49)</f>
        <v>4.49</v>
      </c>
      <c r="E221" s="6">
        <f ca="1">IFERROR(__xludf.DUMMYFUNCTION("GOOGLEFINANCE(A221,""pe"")"),33.97)</f>
        <v>33.97</v>
      </c>
      <c r="F221" s="6">
        <f ca="1">IFERROR(__xludf.DUMMYFUNCTION("GoogleFinance(A221, ""beta"")"),1.27)</f>
        <v>1.27</v>
      </c>
      <c r="G221" s="13">
        <f ca="1">IFERROR(__xludf.DUMMYFUNCTION("GOOGLEFINANCE(A221,""shares"")"),307152000)</f>
        <v>307152000</v>
      </c>
      <c r="H221" s="10">
        <f ca="1">IFERROR(__xludf.DUMMYFUNCTION("GOOGLEFINANCE(A221,""marketcap"")"),46883681092)</f>
        <v>46883681092</v>
      </c>
      <c r="I221" s="13">
        <f ca="1">IFERROR(__xludf.DUMMYFUNCTION("GOOGLEFINANCE(A221,""volume"")"),2443771)</f>
        <v>2443771</v>
      </c>
      <c r="J221" s="13">
        <f ca="1">IFERROR(__xludf.DUMMYFUNCTION("GOOGLEFINANCE(A221,""volumeavg"")"),2941355)</f>
        <v>2941355</v>
      </c>
      <c r="K221" s="15">
        <f ca="1">IFERROR(__xludf.DUMMYFUNCTION("GOOGLEFINANCE(A221,""high52"")"),167.75)</f>
        <v>167.75</v>
      </c>
      <c r="L221" s="15">
        <f ca="1">IFERROR(__xludf.DUMMYFUNCTION("GOOGLEFINANCE(A221,""low52"")"),124.27)</f>
        <v>124.27</v>
      </c>
      <c r="M221" s="7">
        <f t="shared" ca="1" si="0"/>
        <v>45379.717931597224</v>
      </c>
    </row>
    <row r="222" spans="1:13">
      <c r="A222" s="4" t="s">
        <v>233</v>
      </c>
      <c r="B222" s="5" t="str">
        <f ca="1">IFERROR(__xludf.DUMMYFUNCTION("GoogleFinance(A222, ""name"")"),"Hartford Financial Services Group Inc")</f>
        <v>Hartford Financial Services Group Inc</v>
      </c>
      <c r="C222" s="15">
        <f ca="1">IFERROR(__xludf.DUMMYFUNCTION("GoogleFinance(A222, ""price"")"),103.05)</f>
        <v>103.05</v>
      </c>
      <c r="D222" s="6">
        <f ca="1">IFERROR(__xludf.DUMMYFUNCTION("GoogleFinance(A222, ""eps"")"),7.97)</f>
        <v>7.97</v>
      </c>
      <c r="E222" s="6">
        <f ca="1">IFERROR(__xludf.DUMMYFUNCTION("GOOGLEFINANCE(A222,""pe"")"),12.93)</f>
        <v>12.93</v>
      </c>
      <c r="F222" s="6">
        <f ca="1">IFERROR(__xludf.DUMMYFUNCTION("GoogleFinance(A222, ""beta"")"),0.88)</f>
        <v>0.88</v>
      </c>
      <c r="G222" s="13">
        <f ca="1">IFERROR(__xludf.DUMMYFUNCTION("GOOGLEFINANCE(A222,""shares"")"),297350000)</f>
        <v>297350000</v>
      </c>
      <c r="H222" s="10">
        <f ca="1">IFERROR(__xludf.DUMMYFUNCTION("GOOGLEFINANCE(A222,""marketcap"")"),30641918407)</f>
        <v>30641918407</v>
      </c>
      <c r="I222" s="13">
        <f ca="1">IFERROR(__xludf.DUMMYFUNCTION("GOOGLEFINANCE(A222,""volume"")"),1548592)</f>
        <v>1548592</v>
      </c>
      <c r="J222" s="13">
        <f ca="1">IFERROR(__xludf.DUMMYFUNCTION("GOOGLEFINANCE(A222,""volumeavg"")"),1802478)</f>
        <v>1802478</v>
      </c>
      <c r="K222" s="15">
        <f ca="1">IFERROR(__xludf.DUMMYFUNCTION("GOOGLEFINANCE(A222,""high52"")"),103.27)</f>
        <v>103.27</v>
      </c>
      <c r="L222" s="15">
        <f ca="1">IFERROR(__xludf.DUMMYFUNCTION("GOOGLEFINANCE(A222,""low52"")"),67.02)</f>
        <v>67.02</v>
      </c>
      <c r="M222" s="7">
        <f t="shared" ca="1" si="0"/>
        <v>45379.717931597224</v>
      </c>
    </row>
    <row r="223" spans="1:13">
      <c r="A223" s="4" t="s">
        <v>234</v>
      </c>
      <c r="B223" s="5" t="str">
        <f ca="1">IFERROR(__xludf.DUMMYFUNCTION("GoogleFinance(A223, ""name"")"),"Huntington Ingalls Industries Inc")</f>
        <v>Huntington Ingalls Industries Inc</v>
      </c>
      <c r="C223" s="15">
        <f ca="1">IFERROR(__xludf.DUMMYFUNCTION("GoogleFinance(A223, ""price"")"),291.47)</f>
        <v>291.47000000000003</v>
      </c>
      <c r="D223" s="6">
        <f ca="1">IFERROR(__xludf.DUMMYFUNCTION("GoogleFinance(A223, ""eps"")"),17.07)</f>
        <v>17.07</v>
      </c>
      <c r="E223" s="6">
        <f ca="1">IFERROR(__xludf.DUMMYFUNCTION("GOOGLEFINANCE(A223,""pe"")"),17.08)</f>
        <v>17.079999999999998</v>
      </c>
      <c r="F223" s="6">
        <f ca="1">IFERROR(__xludf.DUMMYFUNCTION("GoogleFinance(A223, ""beta"")"),0.6)</f>
        <v>0.6</v>
      </c>
      <c r="G223" s="13">
        <f ca="1">IFERROR(__xludf.DUMMYFUNCTION("GOOGLEFINANCE(A223,""shares"")"),39591000)</f>
        <v>39591000</v>
      </c>
      <c r="H223" s="10">
        <f ca="1">IFERROR(__xludf.DUMMYFUNCTION("GOOGLEFINANCE(A223,""marketcap"")"),11544695372)</f>
        <v>11544695372</v>
      </c>
      <c r="I223" s="13">
        <f ca="1">IFERROR(__xludf.DUMMYFUNCTION("GOOGLEFINANCE(A223,""volume"")"),435008)</f>
        <v>435008</v>
      </c>
      <c r="J223" s="13">
        <f ca="1">IFERROR(__xludf.DUMMYFUNCTION("GOOGLEFINANCE(A223,""volumeavg"")"),254021)</f>
        <v>254021</v>
      </c>
      <c r="K223" s="15">
        <f ca="1">IFERROR(__xludf.DUMMYFUNCTION("GOOGLEFINANCE(A223,""high52"")"),299.5)</f>
        <v>299.5</v>
      </c>
      <c r="L223" s="15">
        <f ca="1">IFERROR(__xludf.DUMMYFUNCTION("GOOGLEFINANCE(A223,""low52"")"),188.51)</f>
        <v>188.51</v>
      </c>
      <c r="M223" s="7">
        <f t="shared" ca="1" si="0"/>
        <v>45379.717931597224</v>
      </c>
    </row>
    <row r="224" spans="1:13">
      <c r="A224" s="4" t="s">
        <v>235</v>
      </c>
      <c r="B224" s="5" t="str">
        <f ca="1">IFERROR(__xludf.DUMMYFUNCTION("GoogleFinance(A224, ""name"")"),"Hilton Hotels Corporation Common Stock")</f>
        <v>Hilton Hotels Corporation Common Stock</v>
      </c>
      <c r="C224" s="15">
        <f ca="1">IFERROR(__xludf.DUMMYFUNCTION("GoogleFinance(A224, ""price"")"),213.31)</f>
        <v>213.31</v>
      </c>
      <c r="D224" s="6">
        <f ca="1">IFERROR(__xludf.DUMMYFUNCTION("GoogleFinance(A224, ""eps"")"),4.32)</f>
        <v>4.32</v>
      </c>
      <c r="E224" s="6">
        <f ca="1">IFERROR(__xludf.DUMMYFUNCTION("GOOGLEFINANCE(A224,""pe"")"),49.35)</f>
        <v>49.35</v>
      </c>
      <c r="F224" s="6">
        <f ca="1">IFERROR(__xludf.DUMMYFUNCTION("GoogleFinance(A224, ""beta"")"),1.25)</f>
        <v>1.25</v>
      </c>
      <c r="G224" s="13">
        <f ca="1">IFERROR(__xludf.DUMMYFUNCTION("GOOGLEFINANCE(A224,""shares"")"),252161000)</f>
        <v>252161000</v>
      </c>
      <c r="H224" s="10">
        <f ca="1">IFERROR(__xludf.DUMMYFUNCTION("GOOGLEFINANCE(A224,""marketcap"")"),53788355639)</f>
        <v>53788355639</v>
      </c>
      <c r="I224" s="13">
        <f ca="1">IFERROR(__xludf.DUMMYFUNCTION("GOOGLEFINANCE(A224,""volume"")"),1247482)</f>
        <v>1247482</v>
      </c>
      <c r="J224" s="13">
        <f ca="1">IFERROR(__xludf.DUMMYFUNCTION("GOOGLEFINANCE(A224,""volumeavg"")"),1420081)</f>
        <v>1420081</v>
      </c>
      <c r="K224" s="15">
        <f ca="1">IFERROR(__xludf.DUMMYFUNCTION("GOOGLEFINANCE(A224,""high52"")"),215.79)</f>
        <v>215.79</v>
      </c>
      <c r="L224" s="15">
        <f ca="1">IFERROR(__xludf.DUMMYFUNCTION("GOOGLEFINANCE(A224,""low52"")"),133.76)</f>
        <v>133.76</v>
      </c>
      <c r="M224" s="7">
        <f t="shared" ca="1" si="0"/>
        <v>45379.717931597224</v>
      </c>
    </row>
    <row r="225" spans="1:13">
      <c r="A225" s="4" t="s">
        <v>236</v>
      </c>
      <c r="B225" s="5" t="str">
        <f ca="1">IFERROR(__xludf.DUMMYFUNCTION("GoogleFinance(A225, ""name"")"),"Hologic Inc")</f>
        <v>Hologic Inc</v>
      </c>
      <c r="C225" s="15">
        <f ca="1">IFERROR(__xludf.DUMMYFUNCTION("GoogleFinance(A225, ""price"")"),77.96)</f>
        <v>77.959999999999994</v>
      </c>
      <c r="D225" s="6">
        <f ca="1">IFERROR(__xludf.DUMMYFUNCTION("GoogleFinance(A225, ""eps"")"),2.1)</f>
        <v>2.1</v>
      </c>
      <c r="E225" s="6">
        <f ca="1">IFERROR(__xludf.DUMMYFUNCTION("GOOGLEFINANCE(A225,""pe"")"),37.06)</f>
        <v>37.06</v>
      </c>
      <c r="F225" s="6">
        <f ca="1">IFERROR(__xludf.DUMMYFUNCTION("GoogleFinance(A225, ""beta"")"),1)</f>
        <v>1</v>
      </c>
      <c r="G225" s="13">
        <f ca="1">IFERROR(__xludf.DUMMYFUNCTION("GOOGLEFINANCE(A225,""shares"")"),234732000)</f>
        <v>234732000</v>
      </c>
      <c r="H225" s="10">
        <f ca="1">IFERROR(__xludf.DUMMYFUNCTION("GOOGLEFINANCE(A225,""marketcap"")"),18299659729)</f>
        <v>18299659729</v>
      </c>
      <c r="I225" s="13">
        <f ca="1">IFERROR(__xludf.DUMMYFUNCTION("GOOGLEFINANCE(A225,""volume"")"),1990262)</f>
        <v>1990262</v>
      </c>
      <c r="J225" s="13">
        <f ca="1">IFERROR(__xludf.DUMMYFUNCTION("GOOGLEFINANCE(A225,""volumeavg"")"),1781084)</f>
        <v>1781084</v>
      </c>
      <c r="K225" s="15">
        <f ca="1">IFERROR(__xludf.DUMMYFUNCTION("GOOGLEFINANCE(A225,""high52"")"),87.88)</f>
        <v>87.88</v>
      </c>
      <c r="L225" s="15">
        <f ca="1">IFERROR(__xludf.DUMMYFUNCTION("GOOGLEFINANCE(A225,""low52"")"),64.02)</f>
        <v>64.02</v>
      </c>
      <c r="M225" s="7">
        <f t="shared" ca="1" si="0"/>
        <v>45379.717931597224</v>
      </c>
    </row>
    <row r="226" spans="1:13">
      <c r="A226" s="4" t="s">
        <v>237</v>
      </c>
      <c r="B226" s="5" t="str">
        <f ca="1">IFERROR(__xludf.DUMMYFUNCTION("GoogleFinance(A226, ""name"")"),"Honeywell International Inc")</f>
        <v>Honeywell International Inc</v>
      </c>
      <c r="C226" s="15">
        <f ca="1">IFERROR(__xludf.DUMMYFUNCTION("GoogleFinance(A226, ""price"")"),205.25)</f>
        <v>205.25</v>
      </c>
      <c r="D226" s="6">
        <f ca="1">IFERROR(__xludf.DUMMYFUNCTION("GoogleFinance(A226, ""eps"")"),8.47)</f>
        <v>8.4700000000000006</v>
      </c>
      <c r="E226" s="6">
        <f ca="1">IFERROR(__xludf.DUMMYFUNCTION("GOOGLEFINANCE(A226,""pe"")"),24.24)</f>
        <v>24.24</v>
      </c>
      <c r="F226" s="6">
        <f ca="1">IFERROR(__xludf.DUMMYFUNCTION("GoogleFinance(A226, ""beta"")"),1.02)</f>
        <v>1.02</v>
      </c>
      <c r="G226" s="13">
        <f ca="1">IFERROR(__xludf.DUMMYFUNCTION("GOOGLEFINANCE(A226,""shares"")"),652182000)</f>
        <v>652182000</v>
      </c>
      <c r="H226" s="10">
        <f ca="1">IFERROR(__xludf.DUMMYFUNCTION("GOOGLEFINANCE(A226,""marketcap"")"),133860355500)</f>
        <v>133860355500</v>
      </c>
      <c r="I226" s="13">
        <f ca="1">IFERROR(__xludf.DUMMYFUNCTION("GOOGLEFINANCE(A226,""volume"")"),3594210)</f>
        <v>3594210</v>
      </c>
      <c r="J226" s="13">
        <f ca="1">IFERROR(__xludf.DUMMYFUNCTION("GOOGLEFINANCE(A226,""volumeavg"")"),2778393)</f>
        <v>2778393</v>
      </c>
      <c r="K226" s="15">
        <f ca="1">IFERROR(__xludf.DUMMYFUNCTION("GOOGLEFINANCE(A226,""high52"")"),210.87)</f>
        <v>210.87</v>
      </c>
      <c r="L226" s="15">
        <f ca="1">IFERROR(__xludf.DUMMYFUNCTION("GOOGLEFINANCE(A226,""low52"")"),174.88)</f>
        <v>174.88</v>
      </c>
      <c r="M226" s="7">
        <f t="shared" ca="1" si="0"/>
        <v>45379.717931597224</v>
      </c>
    </row>
    <row r="227" spans="1:13">
      <c r="A227" s="4" t="s">
        <v>238</v>
      </c>
      <c r="B227" s="5" t="str">
        <f ca="1">IFERROR(__xludf.DUMMYFUNCTION("GoogleFinance(A227, ""name"")"),"Hewlett Packard Enterprise Co")</f>
        <v>Hewlett Packard Enterprise Co</v>
      </c>
      <c r="C227" s="15">
        <f ca="1">IFERROR(__xludf.DUMMYFUNCTION("GoogleFinance(A227, ""price"")"),17.73)</f>
        <v>17.73</v>
      </c>
      <c r="D227" s="6">
        <f ca="1">IFERROR(__xludf.DUMMYFUNCTION("GoogleFinance(A227, ""eps"")"),1.45)</f>
        <v>1.45</v>
      </c>
      <c r="E227" s="6">
        <f ca="1">IFERROR(__xludf.DUMMYFUNCTION("GOOGLEFINANCE(A227,""pe"")"),12.2)</f>
        <v>12.2</v>
      </c>
      <c r="F227" s="6">
        <f ca="1">IFERROR(__xludf.DUMMYFUNCTION("GoogleFinance(A227, ""beta"")"),1.19)</f>
        <v>1.19</v>
      </c>
      <c r="G227" s="13">
        <f ca="1">IFERROR(__xludf.DUMMYFUNCTION("GOOGLEFINANCE(A227,""shares"")"),1300000000)</f>
        <v>1300000000</v>
      </c>
      <c r="H227" s="10">
        <f ca="1">IFERROR(__xludf.DUMMYFUNCTION("GOOGLEFINANCE(A227,""marketcap"")"),23048981674)</f>
        <v>23048981674</v>
      </c>
      <c r="I227" s="13">
        <f ca="1">IFERROR(__xludf.DUMMYFUNCTION("GOOGLEFINANCE(A227,""volume"")"),9155496)</f>
        <v>9155496</v>
      </c>
      <c r="J227" s="13">
        <f ca="1">IFERROR(__xludf.DUMMYFUNCTION("GOOGLEFINANCE(A227,""volumeavg"")"),19420052)</f>
        <v>19420052</v>
      </c>
      <c r="K227" s="15">
        <f ca="1">IFERROR(__xludf.DUMMYFUNCTION("GOOGLEFINANCE(A227,""high52"")"),20.07)</f>
        <v>20.07</v>
      </c>
      <c r="L227" s="15">
        <f ca="1">IFERROR(__xludf.DUMMYFUNCTION("GOOGLEFINANCE(A227,""low52"")"),13.66)</f>
        <v>13.66</v>
      </c>
      <c r="M227" s="7">
        <f t="shared" ca="1" si="0"/>
        <v>45379.717931597224</v>
      </c>
    </row>
    <row r="228" spans="1:13">
      <c r="A228" s="4" t="s">
        <v>239</v>
      </c>
      <c r="B228" s="5" t="str">
        <f ca="1">IFERROR(__xludf.DUMMYFUNCTION("GoogleFinance(A228, ""name"")"),"HP Inc")</f>
        <v>HP Inc</v>
      </c>
      <c r="C228" s="15">
        <f ca="1">IFERROR(__xludf.DUMMYFUNCTION("GoogleFinance(A228, ""price"")"),30.22)</f>
        <v>30.22</v>
      </c>
      <c r="D228" s="6">
        <f ca="1">IFERROR(__xludf.DUMMYFUNCTION("GoogleFinance(A228, ""eps"")"),3.41)</f>
        <v>3.41</v>
      </c>
      <c r="E228" s="6">
        <f ca="1">IFERROR(__xludf.DUMMYFUNCTION("GOOGLEFINANCE(A228,""pe"")"),8.87)</f>
        <v>8.8699999999999992</v>
      </c>
      <c r="F228" s="6">
        <f ca="1">IFERROR(__xludf.DUMMYFUNCTION("GoogleFinance(A228, ""beta"")"),1.04)</f>
        <v>1.04</v>
      </c>
      <c r="G228" s="13">
        <f ca="1">IFERROR(__xludf.DUMMYFUNCTION("GOOGLEFINANCE(A228,""shares"")"),978481000)</f>
        <v>978481000</v>
      </c>
      <c r="H228" s="10">
        <f ca="1">IFERROR(__xludf.DUMMYFUNCTION("GOOGLEFINANCE(A228,""marketcap"")"),29637720366)</f>
        <v>29637720366</v>
      </c>
      <c r="I228" s="13">
        <f ca="1">IFERROR(__xludf.DUMMYFUNCTION("GOOGLEFINANCE(A228,""volume"")"),5954069)</f>
        <v>5954069</v>
      </c>
      <c r="J228" s="13">
        <f ca="1">IFERROR(__xludf.DUMMYFUNCTION("GOOGLEFINANCE(A228,""volumeavg"")"),8875987)</f>
        <v>8875987</v>
      </c>
      <c r="K228" s="15">
        <f ca="1">IFERROR(__xludf.DUMMYFUNCTION("GOOGLEFINANCE(A228,""high52"")"),33.9)</f>
        <v>33.9</v>
      </c>
      <c r="L228" s="15">
        <f ca="1">IFERROR(__xludf.DUMMYFUNCTION("GOOGLEFINANCE(A228,""low52"")"),25.22)</f>
        <v>25.22</v>
      </c>
      <c r="M228" s="7">
        <f t="shared" ca="1" si="0"/>
        <v>45379.717931597224</v>
      </c>
    </row>
    <row r="229" spans="1:13">
      <c r="A229" s="4" t="s">
        <v>240</v>
      </c>
      <c r="B229" s="5" t="str">
        <f ca="1">IFERROR(__xludf.DUMMYFUNCTION("GoogleFinance(A229, ""name"")"),"Hormel Foods Corp")</f>
        <v>Hormel Foods Corp</v>
      </c>
      <c r="C229" s="15">
        <f ca="1">IFERROR(__xludf.DUMMYFUNCTION("GoogleFinance(A229, ""price"")"),34.89)</f>
        <v>34.89</v>
      </c>
      <c r="D229" s="6">
        <f ca="1">IFERROR(__xludf.DUMMYFUNCTION("GoogleFinance(A229, ""eps"")"),1.45)</f>
        <v>1.45</v>
      </c>
      <c r="E229" s="6">
        <f ca="1">IFERROR(__xludf.DUMMYFUNCTION("GOOGLEFINANCE(A229,""pe"")"),24.08)</f>
        <v>24.08</v>
      </c>
      <c r="F229" s="6">
        <f ca="1">IFERROR(__xludf.DUMMYFUNCTION("GoogleFinance(A229, ""beta"")"),0.28)</f>
        <v>0.28000000000000003</v>
      </c>
      <c r="G229" s="13">
        <f ca="1">IFERROR(__xludf.DUMMYFUNCTION("GOOGLEFINANCE(A229,""shares"")"),547688000)</f>
        <v>547688000</v>
      </c>
      <c r="H229" s="10">
        <f ca="1">IFERROR(__xludf.DUMMYFUNCTION("GOOGLEFINANCE(A229,""marketcap"")"),19108816540)</f>
        <v>19108816540</v>
      </c>
      <c r="I229" s="13">
        <f ca="1">IFERROR(__xludf.DUMMYFUNCTION("GOOGLEFINANCE(A229,""volume"")"),2274694)</f>
        <v>2274694</v>
      </c>
      <c r="J229" s="13">
        <f ca="1">IFERROR(__xludf.DUMMYFUNCTION("GOOGLEFINANCE(A229,""volumeavg"")"),3486235)</f>
        <v>3486235</v>
      </c>
      <c r="K229" s="15">
        <f ca="1">IFERROR(__xludf.DUMMYFUNCTION("GOOGLEFINANCE(A229,""high52"")"),41.73)</f>
        <v>41.73</v>
      </c>
      <c r="L229" s="15">
        <f ca="1">IFERROR(__xludf.DUMMYFUNCTION("GOOGLEFINANCE(A229,""low52"")"),28.51)</f>
        <v>28.51</v>
      </c>
      <c r="M229" s="7">
        <f t="shared" ca="1" si="0"/>
        <v>45379.717931597224</v>
      </c>
    </row>
    <row r="230" spans="1:13">
      <c r="A230" s="4" t="s">
        <v>241</v>
      </c>
      <c r="B230" s="5" t="str">
        <f ca="1">IFERROR(__xludf.DUMMYFUNCTION("GoogleFinance(A230, ""name"")"),"Henry Schein, Inc.")</f>
        <v>Henry Schein, Inc.</v>
      </c>
      <c r="C230" s="15">
        <f ca="1">IFERROR(__xludf.DUMMYFUNCTION("GoogleFinance(A230, ""price"")"),75.52)</f>
        <v>75.52</v>
      </c>
      <c r="D230" s="6">
        <f ca="1">IFERROR(__xludf.DUMMYFUNCTION("GoogleFinance(A230, ""eps"")"),3.16)</f>
        <v>3.16</v>
      </c>
      <c r="E230" s="6">
        <f ca="1">IFERROR(__xludf.DUMMYFUNCTION("GOOGLEFINANCE(A230,""pe"")"),23.92)</f>
        <v>23.92</v>
      </c>
      <c r="F230" s="6">
        <f ca="1">IFERROR(__xludf.DUMMYFUNCTION("GoogleFinance(A230, ""beta"")"),0.87)</f>
        <v>0.87</v>
      </c>
      <c r="G230" s="13">
        <f ca="1">IFERROR(__xludf.DUMMYFUNCTION("GOOGLEFINANCE(A230,""shares"")"),128506000)</f>
        <v>128506000</v>
      </c>
      <c r="H230" s="10">
        <f ca="1">IFERROR(__xludf.DUMMYFUNCTION("GOOGLEFINANCE(A230,""marketcap"")"),9704750032)</f>
        <v>9704750032</v>
      </c>
      <c r="I230" s="13">
        <f ca="1">IFERROR(__xludf.DUMMYFUNCTION("GOOGLEFINANCE(A230,""volume"")"),1014939)</f>
        <v>1014939</v>
      </c>
      <c r="J230" s="13">
        <f ca="1">IFERROR(__xludf.DUMMYFUNCTION("GOOGLEFINANCE(A230,""volumeavg"")"),1343191)</f>
        <v>1343191</v>
      </c>
      <c r="K230" s="15">
        <f ca="1">IFERROR(__xludf.DUMMYFUNCTION("GOOGLEFINANCE(A230,""high52"")"),85.75)</f>
        <v>85.75</v>
      </c>
      <c r="L230" s="15">
        <f ca="1">IFERROR(__xludf.DUMMYFUNCTION("GOOGLEFINANCE(A230,""low52"")"),60.01)</f>
        <v>60.01</v>
      </c>
      <c r="M230" s="7">
        <f t="shared" ca="1" si="0"/>
        <v>45379.717931597224</v>
      </c>
    </row>
    <row r="231" spans="1:13">
      <c r="A231" s="4" t="s">
        <v>242</v>
      </c>
      <c r="B231" s="5" t="str">
        <f ca="1">IFERROR(__xludf.DUMMYFUNCTION("GoogleFinance(A231, ""name"")"),"Host Hotels &amp; Resorts Inc")</f>
        <v>Host Hotels &amp; Resorts Inc</v>
      </c>
      <c r="C231" s="15">
        <f ca="1">IFERROR(__xludf.DUMMYFUNCTION("GoogleFinance(A231, ""price"")"),20.68)</f>
        <v>20.68</v>
      </c>
      <c r="D231" s="6">
        <f ca="1">IFERROR(__xludf.DUMMYFUNCTION("GoogleFinance(A231, ""eps"")"),1.04)</f>
        <v>1.04</v>
      </c>
      <c r="E231" s="6">
        <f ca="1">IFERROR(__xludf.DUMMYFUNCTION("GOOGLEFINANCE(A231,""pe"")"),19.92)</f>
        <v>19.920000000000002</v>
      </c>
      <c r="F231" s="6">
        <f ca="1">IFERROR(__xludf.DUMMYFUNCTION("GoogleFinance(A231, ""beta"")"),1.28)</f>
        <v>1.28</v>
      </c>
      <c r="G231" s="13">
        <f ca="1">IFERROR(__xludf.DUMMYFUNCTION("GOOGLEFINANCE(A231,""shares"")"),703622000)</f>
        <v>703622000</v>
      </c>
      <c r="H231" s="10">
        <f ca="1">IFERROR(__xludf.DUMMYFUNCTION("GOOGLEFINANCE(A231,""marketcap"")"),14550903174)</f>
        <v>14550903174</v>
      </c>
      <c r="I231" s="13">
        <f ca="1">IFERROR(__xludf.DUMMYFUNCTION("GOOGLEFINANCE(A231,""volume"")"),5737057)</f>
        <v>5737057</v>
      </c>
      <c r="J231" s="13">
        <f ca="1">IFERROR(__xludf.DUMMYFUNCTION("GOOGLEFINANCE(A231,""volumeavg"")"),6491414)</f>
        <v>6491414</v>
      </c>
      <c r="K231" s="15">
        <f ca="1">IFERROR(__xludf.DUMMYFUNCTION("GOOGLEFINANCE(A231,""high52"")"),21.31)</f>
        <v>21.31</v>
      </c>
      <c r="L231" s="15">
        <f ca="1">IFERROR(__xludf.DUMMYFUNCTION("GOOGLEFINANCE(A231,""low52"")"),14.92)</f>
        <v>14.92</v>
      </c>
      <c r="M231" s="7">
        <f t="shared" ca="1" si="0"/>
        <v>45379.717931597224</v>
      </c>
    </row>
    <row r="232" spans="1:13">
      <c r="A232" s="4" t="s">
        <v>243</v>
      </c>
      <c r="B232" s="5" t="str">
        <f ca="1">IFERROR(__xludf.DUMMYFUNCTION("GoogleFinance(A232, ""name"")"),"Hershey Co")</f>
        <v>Hershey Co</v>
      </c>
      <c r="C232" s="15">
        <f ca="1">IFERROR(__xludf.DUMMYFUNCTION("GoogleFinance(A232, ""price"")"),194.5)</f>
        <v>194.5</v>
      </c>
      <c r="D232" s="6">
        <f ca="1">IFERROR(__xludf.DUMMYFUNCTION("GoogleFinance(A232, ""eps"")"),7.14)</f>
        <v>7.14</v>
      </c>
      <c r="E232" s="6">
        <f ca="1">IFERROR(__xludf.DUMMYFUNCTION("GOOGLEFINANCE(A232,""pe"")"),27.24)</f>
        <v>27.24</v>
      </c>
      <c r="F232" s="6">
        <f ca="1">IFERROR(__xludf.DUMMYFUNCTION("GoogleFinance(A232, ""beta"")"),0.34)</f>
        <v>0.34</v>
      </c>
      <c r="G232" s="13">
        <f ca="1">IFERROR(__xludf.DUMMYFUNCTION("GOOGLEFINANCE(A232,""shares"")"),149336000)</f>
        <v>149336000</v>
      </c>
      <c r="H232" s="10">
        <f ca="1">IFERROR(__xludf.DUMMYFUNCTION("GOOGLEFINANCE(A232,""marketcap"")"),39668255550)</f>
        <v>39668255550</v>
      </c>
      <c r="I232" s="13">
        <f ca="1">IFERROR(__xludf.DUMMYFUNCTION("GOOGLEFINANCE(A232,""volume"")"),1584962)</f>
        <v>1584962</v>
      </c>
      <c r="J232" s="13">
        <f ca="1">IFERROR(__xludf.DUMMYFUNCTION("GOOGLEFINANCE(A232,""volumeavg"")"),2243735)</f>
        <v>2243735</v>
      </c>
      <c r="K232" s="15">
        <f ca="1">IFERROR(__xludf.DUMMYFUNCTION("GOOGLEFINANCE(A232,""high52"")"),276.88)</f>
        <v>276.88</v>
      </c>
      <c r="L232" s="15">
        <f ca="1">IFERROR(__xludf.DUMMYFUNCTION("GOOGLEFINANCE(A232,""low52"")"),178.82)</f>
        <v>178.82</v>
      </c>
      <c r="M232" s="7">
        <f t="shared" ca="1" si="0"/>
        <v>45379.717931597224</v>
      </c>
    </row>
    <row r="233" spans="1:13">
      <c r="A233" s="4" t="s">
        <v>244</v>
      </c>
      <c r="B233" s="5" t="str">
        <f ca="1">IFERROR(__xludf.DUMMYFUNCTION("GoogleFinance(A233, ""name"")"),"Hubbell Inc")</f>
        <v>Hubbell Inc</v>
      </c>
      <c r="C233" s="15">
        <f ca="1">IFERROR(__xludf.DUMMYFUNCTION("GoogleFinance(A233, ""price"")"),415.05)</f>
        <v>415.05</v>
      </c>
      <c r="D233" s="6">
        <f ca="1">IFERROR(__xludf.DUMMYFUNCTION("GoogleFinance(A233, ""eps"")"),14.04)</f>
        <v>14.04</v>
      </c>
      <c r="E233" s="6">
        <f ca="1">IFERROR(__xludf.DUMMYFUNCTION("GOOGLEFINANCE(A233,""pe"")"),29.57)</f>
        <v>29.57</v>
      </c>
      <c r="F233" s="6">
        <f ca="1">IFERROR(__xludf.DUMMYFUNCTION("GoogleFinance(A233, ""beta"")"),0.93)</f>
        <v>0.93</v>
      </c>
      <c r="G233" s="13">
        <f ca="1">IFERROR(__xludf.DUMMYFUNCTION("GOOGLEFINANCE(A233,""shares"")"),53627000)</f>
        <v>53627000</v>
      </c>
      <c r="H233" s="10">
        <f ca="1">IFERROR(__xludf.DUMMYFUNCTION("GOOGLEFINANCE(A233,""marketcap"")"),22281028882)</f>
        <v>22281028882</v>
      </c>
      <c r="I233" s="13">
        <f ca="1">IFERROR(__xludf.DUMMYFUNCTION("GOOGLEFINANCE(A233,""volume"")"),291185)</f>
        <v>291185</v>
      </c>
      <c r="J233" s="13">
        <f ca="1">IFERROR(__xludf.DUMMYFUNCTION("GOOGLEFINANCE(A233,""volumeavg"")"),417729)</f>
        <v>417729</v>
      </c>
      <c r="K233" s="15">
        <f ca="1">IFERROR(__xludf.DUMMYFUNCTION("GOOGLEFINANCE(A233,""high52"")"),419.65)</f>
        <v>419.65</v>
      </c>
      <c r="L233" s="15">
        <f ca="1">IFERROR(__xludf.DUMMYFUNCTION("GOOGLEFINANCE(A233,""low52"")"),219.77)</f>
        <v>219.77</v>
      </c>
      <c r="M233" s="7">
        <f t="shared" ca="1" si="0"/>
        <v>45379.717931597224</v>
      </c>
    </row>
    <row r="234" spans="1:13">
      <c r="A234" s="4" t="s">
        <v>245</v>
      </c>
      <c r="B234" s="5" t="str">
        <f ca="1">IFERROR(__xludf.DUMMYFUNCTION("GoogleFinance(A234, ""name"")"),"Humana Inc")</f>
        <v>Humana Inc</v>
      </c>
      <c r="C234" s="15">
        <f ca="1">IFERROR(__xludf.DUMMYFUNCTION("GoogleFinance(A234, ""price"")"),346.72)</f>
        <v>346.72</v>
      </c>
      <c r="D234" s="6">
        <f ca="1">IFERROR(__xludf.DUMMYFUNCTION("GoogleFinance(A234, ""eps"")"),20)</f>
        <v>20</v>
      </c>
      <c r="E234" s="6">
        <f ca="1">IFERROR(__xludf.DUMMYFUNCTION("GOOGLEFINANCE(A234,""pe"")"),17.33)</f>
        <v>17.329999999999998</v>
      </c>
      <c r="F234" s="6">
        <f ca="1">IFERROR(__xludf.DUMMYFUNCTION("GoogleFinance(A234, ""beta"")"),0.45)</f>
        <v>0.45</v>
      </c>
      <c r="G234" s="13">
        <f ca="1">IFERROR(__xludf.DUMMYFUNCTION("GOOGLEFINANCE(A234,""shares"")"),120549000)</f>
        <v>120549000</v>
      </c>
      <c r="H234" s="10">
        <f ca="1">IFERROR(__xludf.DUMMYFUNCTION("GOOGLEFINANCE(A234,""marketcap"")"),41796645411)</f>
        <v>41796645411</v>
      </c>
      <c r="I234" s="13">
        <f ca="1">IFERROR(__xludf.DUMMYFUNCTION("GOOGLEFINANCE(A234,""volume"")"),1583045)</f>
        <v>1583045</v>
      </c>
      <c r="J234" s="13">
        <f ca="1">IFERROR(__xludf.DUMMYFUNCTION("GOOGLEFINANCE(A234,""volumeavg"")"),1375432)</f>
        <v>1375432</v>
      </c>
      <c r="K234" s="15">
        <f ca="1">IFERROR(__xludf.DUMMYFUNCTION("GOOGLEFINANCE(A234,""high52"")"),541.21)</f>
        <v>541.21</v>
      </c>
      <c r="L234" s="15">
        <f ca="1">IFERROR(__xludf.DUMMYFUNCTION("GOOGLEFINANCE(A234,""low52"")"),334.54)</f>
        <v>334.54</v>
      </c>
      <c r="M234" s="7">
        <f t="shared" ca="1" si="0"/>
        <v>45379.717931597224</v>
      </c>
    </row>
    <row r="235" spans="1:13">
      <c r="A235" s="4" t="s">
        <v>246</v>
      </c>
      <c r="B235" s="5" t="str">
        <f ca="1">IFERROR(__xludf.DUMMYFUNCTION("GoogleFinance(A235, ""name"")"),"Howmet Aerospace Inc")</f>
        <v>Howmet Aerospace Inc</v>
      </c>
      <c r="C235" s="15">
        <f ca="1">IFERROR(__xludf.DUMMYFUNCTION("GoogleFinance(A235, ""price"")"),68.43)</f>
        <v>68.430000000000007</v>
      </c>
      <c r="D235" s="6">
        <f ca="1">IFERROR(__xludf.DUMMYFUNCTION("GoogleFinance(A235, ""eps"")"),1.83)</f>
        <v>1.83</v>
      </c>
      <c r="E235" s="6">
        <f ca="1">IFERROR(__xludf.DUMMYFUNCTION("GOOGLEFINANCE(A235,""pe"")"),37.31)</f>
        <v>37.31</v>
      </c>
      <c r="F235" s="6">
        <f ca="1">IFERROR(__xludf.DUMMYFUNCTION("GoogleFinance(A235, ""beta"")"),1.27)</f>
        <v>1.27</v>
      </c>
      <c r="G235" s="13">
        <f ca="1">IFERROR(__xludf.DUMMYFUNCTION("GOOGLEFINANCE(A235,""shares"")"),410304000)</f>
        <v>410304000</v>
      </c>
      <c r="H235" s="10">
        <f ca="1">IFERROR(__xludf.DUMMYFUNCTION("GOOGLEFINANCE(A235,""marketcap"")"),28077075473)</f>
        <v>28077075473</v>
      </c>
      <c r="I235" s="13">
        <f ca="1">IFERROR(__xludf.DUMMYFUNCTION("GOOGLEFINANCE(A235,""volume"")"),2893070)</f>
        <v>2893070</v>
      </c>
      <c r="J235" s="13">
        <f ca="1">IFERROR(__xludf.DUMMYFUNCTION("GOOGLEFINANCE(A235,""volumeavg"")"),3472558)</f>
        <v>3472558</v>
      </c>
      <c r="K235" s="15">
        <f ca="1">IFERROR(__xludf.DUMMYFUNCTION("GOOGLEFINANCE(A235,""high52"")"),69.55)</f>
        <v>69.55</v>
      </c>
      <c r="L235" s="15">
        <f ca="1">IFERROR(__xludf.DUMMYFUNCTION("GOOGLEFINANCE(A235,""low52"")"),41.3)</f>
        <v>41.3</v>
      </c>
      <c r="M235" s="7">
        <f t="shared" ca="1" si="0"/>
        <v>45379.717931597224</v>
      </c>
    </row>
    <row r="236" spans="1:13">
      <c r="A236" s="4" t="s">
        <v>247</v>
      </c>
      <c r="B236" s="5" t="str">
        <f ca="1">IFERROR(__xludf.DUMMYFUNCTION("GoogleFinance(A236, ""name"")"),"IBM Common Stock")</f>
        <v>IBM Common Stock</v>
      </c>
      <c r="C236" s="15">
        <f ca="1">IFERROR(__xludf.DUMMYFUNCTION("GoogleFinance(A236, ""price"")"),190.96)</f>
        <v>190.96</v>
      </c>
      <c r="D236" s="6">
        <f ca="1">IFERROR(__xludf.DUMMYFUNCTION("GoogleFinance(A236, ""eps"")"),8.05)</f>
        <v>8.0500000000000007</v>
      </c>
      <c r="E236" s="6">
        <f ca="1">IFERROR(__xludf.DUMMYFUNCTION("GOOGLEFINANCE(A236,""pe"")"),23.73)</f>
        <v>23.73</v>
      </c>
      <c r="F236" s="6">
        <f ca="1">IFERROR(__xludf.DUMMYFUNCTION("GoogleFinance(A236, ""beta"")"),0.7)</f>
        <v>0.7</v>
      </c>
      <c r="G236" s="13">
        <f ca="1">IFERROR(__xludf.DUMMYFUNCTION("GOOGLEFINANCE(A236,""shares"")"),916745000)</f>
        <v>916745000</v>
      </c>
      <c r="H236" s="10">
        <f ca="1">IFERROR(__xludf.DUMMYFUNCTION("GOOGLEFINANCE(A236,""marketcap"")"),175061574066)</f>
        <v>175061574066</v>
      </c>
      <c r="I236" s="13">
        <f ca="1">IFERROR(__xludf.DUMMYFUNCTION("GOOGLEFINANCE(A236,""volume"")"),3742072)</f>
        <v>3742072</v>
      </c>
      <c r="J236" s="13">
        <f ca="1">IFERROR(__xludf.DUMMYFUNCTION("GOOGLEFINANCE(A236,""volumeavg"")"),4690387)</f>
        <v>4690387</v>
      </c>
      <c r="K236" s="15">
        <f ca="1">IFERROR(__xludf.DUMMYFUNCTION("GOOGLEFINANCE(A236,""high52"")"),199.18)</f>
        <v>199.18</v>
      </c>
      <c r="L236" s="15">
        <f ca="1">IFERROR(__xludf.DUMMYFUNCTION("GOOGLEFINANCE(A236,""low52"")"),120.55)</f>
        <v>120.55</v>
      </c>
      <c r="M236" s="7">
        <f t="shared" ca="1" si="0"/>
        <v>45379.717931597224</v>
      </c>
    </row>
    <row r="237" spans="1:13">
      <c r="A237" s="4" t="s">
        <v>248</v>
      </c>
      <c r="B237" s="5" t="str">
        <f ca="1">IFERROR(__xludf.DUMMYFUNCTION("GoogleFinance(A237, ""name"")"),"Intercontinental Exchange Inc")</f>
        <v>Intercontinental Exchange Inc</v>
      </c>
      <c r="C237" s="15">
        <f ca="1">IFERROR(__xludf.DUMMYFUNCTION("GoogleFinance(A237, ""price"")"),137.43)</f>
        <v>137.43</v>
      </c>
      <c r="D237" s="6">
        <f ca="1">IFERROR(__xludf.DUMMYFUNCTION("GoogleFinance(A237, ""eps"")"),4.19)</f>
        <v>4.1900000000000004</v>
      </c>
      <c r="E237" s="6">
        <f ca="1">IFERROR(__xludf.DUMMYFUNCTION("GOOGLEFINANCE(A237,""pe"")"),32.79)</f>
        <v>32.79</v>
      </c>
      <c r="F237" s="6">
        <f ca="1">IFERROR(__xludf.DUMMYFUNCTION("GoogleFinance(A237, ""beta"")"),1.02)</f>
        <v>1.02</v>
      </c>
      <c r="G237" s="13">
        <f ca="1">IFERROR(__xludf.DUMMYFUNCTION("GOOGLEFINANCE(A237,""shares"")"),572616000)</f>
        <v>572616000</v>
      </c>
      <c r="H237" s="10">
        <f ca="1">IFERROR(__xludf.DUMMYFUNCTION("GOOGLEFINANCE(A237,""marketcap"")"),78694667658)</f>
        <v>78694667658</v>
      </c>
      <c r="I237" s="13">
        <f ca="1">IFERROR(__xludf.DUMMYFUNCTION("GOOGLEFINANCE(A237,""volume"")"),2596799)</f>
        <v>2596799</v>
      </c>
      <c r="J237" s="13">
        <f ca="1">IFERROR(__xludf.DUMMYFUNCTION("GOOGLEFINANCE(A237,""volumeavg"")"),2398951)</f>
        <v>2398951</v>
      </c>
      <c r="K237" s="15">
        <f ca="1">IFERROR(__xludf.DUMMYFUNCTION("GOOGLEFINANCE(A237,""high52"")"),140.43)</f>
        <v>140.43</v>
      </c>
      <c r="L237" s="15">
        <f ca="1">IFERROR(__xludf.DUMMYFUNCTION("GOOGLEFINANCE(A237,""low52"")"),99.84)</f>
        <v>99.84</v>
      </c>
      <c r="M237" s="7">
        <f t="shared" ca="1" si="0"/>
        <v>45379.717931597224</v>
      </c>
    </row>
    <row r="238" spans="1:13">
      <c r="A238" s="4" t="s">
        <v>249</v>
      </c>
      <c r="B238" s="5" t="str">
        <f ca="1">IFERROR(__xludf.DUMMYFUNCTION("GoogleFinance(A238, ""name"")"),"IDEXX Laboratories, Inc.")</f>
        <v>IDEXX Laboratories, Inc.</v>
      </c>
      <c r="C238" s="15">
        <f ca="1">IFERROR(__xludf.DUMMYFUNCTION("GoogleFinance(A238, ""price"")"),539.93)</f>
        <v>539.92999999999995</v>
      </c>
      <c r="D238" s="6">
        <f ca="1">IFERROR(__xludf.DUMMYFUNCTION("GoogleFinance(A238, ""eps"")"),10.06)</f>
        <v>10.06</v>
      </c>
      <c r="E238" s="6">
        <f ca="1">IFERROR(__xludf.DUMMYFUNCTION("GOOGLEFINANCE(A238,""pe"")"),53.66)</f>
        <v>53.66</v>
      </c>
      <c r="F238" s="6">
        <f ca="1">IFERROR(__xludf.DUMMYFUNCTION("GoogleFinance(A238, ""beta"")"),1.27)</f>
        <v>1.27</v>
      </c>
      <c r="G238" s="13">
        <f ca="1">IFERROR(__xludf.DUMMYFUNCTION("GOOGLEFINANCE(A238,""shares"")"),83089000)</f>
        <v>83089000</v>
      </c>
      <c r="H238" s="10">
        <f ca="1">IFERROR(__xludf.DUMMYFUNCTION("GOOGLEFINANCE(A238,""marketcap"")"),44862448334)</f>
        <v>44862448334</v>
      </c>
      <c r="I238" s="13">
        <f ca="1">IFERROR(__xludf.DUMMYFUNCTION("GOOGLEFINANCE(A238,""volume"")"),290111)</f>
        <v>290111</v>
      </c>
      <c r="J238" s="13">
        <f ca="1">IFERROR(__xludf.DUMMYFUNCTION("GOOGLEFINANCE(A238,""volumeavg"")"),382208)</f>
        <v>382208</v>
      </c>
      <c r="K238" s="15">
        <f ca="1">IFERROR(__xludf.DUMMYFUNCTION("GOOGLEFINANCE(A238,""high52"")"),583.39)</f>
        <v>583.39</v>
      </c>
      <c r="L238" s="15">
        <f ca="1">IFERROR(__xludf.DUMMYFUNCTION("GOOGLEFINANCE(A238,""low52"")"),372.5)</f>
        <v>372.5</v>
      </c>
      <c r="M238" s="7">
        <f t="shared" ca="1" si="0"/>
        <v>45379.717931597224</v>
      </c>
    </row>
    <row r="239" spans="1:13">
      <c r="A239" s="4" t="s">
        <v>250</v>
      </c>
      <c r="B239" s="5" t="str">
        <f ca="1">IFERROR(__xludf.DUMMYFUNCTION("GoogleFinance(A239, ""name"")"),"IDEX Corp")</f>
        <v>IDEX Corp</v>
      </c>
      <c r="C239" s="15">
        <f ca="1">IFERROR(__xludf.DUMMYFUNCTION("GoogleFinance(A239, ""price"")"),244.02)</f>
        <v>244.02</v>
      </c>
      <c r="D239" s="6">
        <f ca="1">IFERROR(__xludf.DUMMYFUNCTION("GoogleFinance(A239, ""eps"")"),7.85)</f>
        <v>7.85</v>
      </c>
      <c r="E239" s="6">
        <f ca="1">IFERROR(__xludf.DUMMYFUNCTION("GOOGLEFINANCE(A239,""pe"")"),31.07)</f>
        <v>31.07</v>
      </c>
      <c r="F239" s="6">
        <f ca="1">IFERROR(__xludf.DUMMYFUNCTION("GoogleFinance(A239, ""beta"")"),0.97)</f>
        <v>0.97</v>
      </c>
      <c r="G239" s="13">
        <f ca="1">IFERROR(__xludf.DUMMYFUNCTION("GOOGLEFINANCE(A239,""shares"")"),75645000)</f>
        <v>75645000</v>
      </c>
      <c r="H239" s="10">
        <f ca="1">IFERROR(__xludf.DUMMYFUNCTION("GOOGLEFINANCE(A239,""marketcap"")"),18458810256)</f>
        <v>18458810256</v>
      </c>
      <c r="I239" s="13">
        <f ca="1">IFERROR(__xludf.DUMMYFUNCTION("GOOGLEFINANCE(A239,""volume"")"),243218)</f>
        <v>243218</v>
      </c>
      <c r="J239" s="13">
        <f ca="1">IFERROR(__xludf.DUMMYFUNCTION("GOOGLEFINANCE(A239,""volumeavg"")"),351419)</f>
        <v>351419</v>
      </c>
      <c r="K239" s="15">
        <f ca="1">IFERROR(__xludf.DUMMYFUNCTION("GOOGLEFINANCE(A239,""high52"")"),246.36)</f>
        <v>246.36</v>
      </c>
      <c r="L239" s="15">
        <f ca="1">IFERROR(__xludf.DUMMYFUNCTION("GOOGLEFINANCE(A239,""low52"")"),183.77)</f>
        <v>183.77</v>
      </c>
      <c r="M239" s="7">
        <f t="shared" ca="1" si="0"/>
        <v>45379.717931597224</v>
      </c>
    </row>
    <row r="240" spans="1:13">
      <c r="A240" s="4" t="s">
        <v>251</v>
      </c>
      <c r="B240" s="5" t="str">
        <f ca="1">IFERROR(__xludf.DUMMYFUNCTION("GoogleFinance(A240, ""name"")"),"International Flavors &amp; Fragrances Inc")</f>
        <v>International Flavors &amp; Fragrances Inc</v>
      </c>
      <c r="C240" s="15">
        <f ca="1">IFERROR(__xludf.DUMMYFUNCTION("GoogleFinance(A240, ""price"")"),85.99)</f>
        <v>85.99</v>
      </c>
      <c r="D240" s="6">
        <f ca="1">IFERROR(__xludf.DUMMYFUNCTION("GoogleFinance(A240, ""eps"")"),-10.06)</f>
        <v>-10.06</v>
      </c>
      <c r="E240" s="6" t="str">
        <f ca="1">IFERROR(__xludf.DUMMYFUNCTION("GOOGLEFINANCE(A240,""pe"")"),"#N/A")</f>
        <v>#N/A</v>
      </c>
      <c r="F240" s="6">
        <f ca="1">IFERROR(__xludf.DUMMYFUNCTION("GoogleFinance(A240, ""beta"")"),1.22)</f>
        <v>1.22</v>
      </c>
      <c r="G240" s="13">
        <f ca="1">IFERROR(__xludf.DUMMYFUNCTION("GOOGLEFINANCE(A240,""shares"")"),255319000)</f>
        <v>255319000</v>
      </c>
      <c r="H240" s="10">
        <f ca="1">IFERROR(__xludf.DUMMYFUNCTION("GOOGLEFINANCE(A240,""marketcap"")"),21954880264)</f>
        <v>21954880264</v>
      </c>
      <c r="I240" s="13">
        <f ca="1">IFERROR(__xludf.DUMMYFUNCTION("GOOGLEFINANCE(A240,""volume"")"),10232887)</f>
        <v>10232887</v>
      </c>
      <c r="J240" s="13">
        <f ca="1">IFERROR(__xludf.DUMMYFUNCTION("GOOGLEFINANCE(A240,""volumeavg"")"),2538891)</f>
        <v>2538891</v>
      </c>
      <c r="K240" s="15">
        <f ca="1">IFERROR(__xludf.DUMMYFUNCTION("GOOGLEFINANCE(A240,""high52"")"),97.49)</f>
        <v>97.49</v>
      </c>
      <c r="L240" s="15">
        <f ca="1">IFERROR(__xludf.DUMMYFUNCTION("GOOGLEFINANCE(A240,""low52"")"),62.11)</f>
        <v>62.11</v>
      </c>
      <c r="M240" s="7">
        <f t="shared" ca="1" si="0"/>
        <v>45379.717931597224</v>
      </c>
    </row>
    <row r="241" spans="1:13">
      <c r="A241" s="4" t="s">
        <v>252</v>
      </c>
      <c r="B241" s="5" t="str">
        <f ca="1">IFERROR(__xludf.DUMMYFUNCTION("GoogleFinance(A241, ""name"")"),"Illumina Inc")</f>
        <v>Illumina Inc</v>
      </c>
      <c r="C241" s="15">
        <f ca="1">IFERROR(__xludf.DUMMYFUNCTION("GoogleFinance(A241, ""price"")"),137.32)</f>
        <v>137.32</v>
      </c>
      <c r="D241" s="6">
        <f ca="1">IFERROR(__xludf.DUMMYFUNCTION("GoogleFinance(A241, ""eps"")"),-7.35)</f>
        <v>-7.35</v>
      </c>
      <c r="E241" s="6" t="str">
        <f ca="1">IFERROR(__xludf.DUMMYFUNCTION("GOOGLEFINANCE(A241,""pe"")"),"#N/A")</f>
        <v>#N/A</v>
      </c>
      <c r="F241" s="6">
        <f ca="1">IFERROR(__xludf.DUMMYFUNCTION("GoogleFinance(A241, ""beta"")"),1.19)</f>
        <v>1.19</v>
      </c>
      <c r="G241" s="13">
        <f ca="1">IFERROR(__xludf.DUMMYFUNCTION("GOOGLEFINANCE(A241,""shares"")"),158900000)</f>
        <v>158900000</v>
      </c>
      <c r="H241" s="10">
        <f ca="1">IFERROR(__xludf.DUMMYFUNCTION("GOOGLEFINANCE(A241,""marketcap"")"),21820135431)</f>
        <v>21820135431</v>
      </c>
      <c r="I241" s="13">
        <f ca="1">IFERROR(__xludf.DUMMYFUNCTION("GOOGLEFINANCE(A241,""volume"")"),916873)</f>
        <v>916873</v>
      </c>
      <c r="J241" s="13">
        <f ca="1">IFERROR(__xludf.DUMMYFUNCTION("GOOGLEFINANCE(A241,""volumeavg"")"),1612055)</f>
        <v>1612055</v>
      </c>
      <c r="K241" s="15">
        <f ca="1">IFERROR(__xludf.DUMMYFUNCTION("GOOGLEFINANCE(A241,""high52"")"),233.42)</f>
        <v>233.42</v>
      </c>
      <c r="L241" s="15">
        <f ca="1">IFERROR(__xludf.DUMMYFUNCTION("GOOGLEFINANCE(A241,""low52"")"),89)</f>
        <v>89</v>
      </c>
      <c r="M241" s="7">
        <f t="shared" ca="1" si="0"/>
        <v>45379.717931597224</v>
      </c>
    </row>
    <row r="242" spans="1:13">
      <c r="A242" s="4" t="s">
        <v>253</v>
      </c>
      <c r="B242" s="5" t="str">
        <f ca="1">IFERROR(__xludf.DUMMYFUNCTION("GoogleFinance(A242, ""name"")"),"Incyte Corp")</f>
        <v>Incyte Corp</v>
      </c>
      <c r="C242" s="15">
        <f ca="1">IFERROR(__xludf.DUMMYFUNCTION("GoogleFinance(A242, ""price"")"),56.97)</f>
        <v>56.97</v>
      </c>
      <c r="D242" s="6">
        <f ca="1">IFERROR(__xludf.DUMMYFUNCTION("GoogleFinance(A242, ""eps"")"),2.65)</f>
        <v>2.65</v>
      </c>
      <c r="E242" s="6">
        <f ca="1">IFERROR(__xludf.DUMMYFUNCTION("GOOGLEFINANCE(A242,""pe"")"),21.54)</f>
        <v>21.54</v>
      </c>
      <c r="F242" s="6">
        <f ca="1">IFERROR(__xludf.DUMMYFUNCTION("GoogleFinance(A242, ""beta"")"),0.65)</f>
        <v>0.65</v>
      </c>
      <c r="G242" s="13">
        <f ca="1">IFERROR(__xludf.DUMMYFUNCTION("GOOGLEFINANCE(A242,""shares"")"),224526000)</f>
        <v>224526000</v>
      </c>
      <c r="H242" s="10">
        <f ca="1">IFERROR(__xludf.DUMMYFUNCTION("GOOGLEFINANCE(A242,""marketcap"")"),12791246494)</f>
        <v>12791246494</v>
      </c>
      <c r="I242" s="13">
        <f ca="1">IFERROR(__xludf.DUMMYFUNCTION("GOOGLEFINANCE(A242,""volume"")"),1883242)</f>
        <v>1883242</v>
      </c>
      <c r="J242" s="13">
        <f ca="1">IFERROR(__xludf.DUMMYFUNCTION("GOOGLEFINANCE(A242,""volumeavg"")"),1795348)</f>
        <v>1795348</v>
      </c>
      <c r="K242" s="15">
        <f ca="1">IFERROR(__xludf.DUMMYFUNCTION("GOOGLEFINANCE(A242,""high52"")"),76.04)</f>
        <v>76.040000000000006</v>
      </c>
      <c r="L242" s="15">
        <f ca="1">IFERROR(__xludf.DUMMYFUNCTION("GOOGLEFINANCE(A242,""low52"")"),50.27)</f>
        <v>50.27</v>
      </c>
      <c r="M242" s="7">
        <f t="shared" ca="1" si="0"/>
        <v>45379.717931597224</v>
      </c>
    </row>
    <row r="243" spans="1:13">
      <c r="A243" s="4" t="s">
        <v>254</v>
      </c>
      <c r="B243" s="5" t="str">
        <f ca="1">IFERROR(__xludf.DUMMYFUNCTION("GoogleFinance(A243, ""name"")"),"Intel Corp")</f>
        <v>Intel Corp</v>
      </c>
      <c r="C243" s="15">
        <f ca="1">IFERROR(__xludf.DUMMYFUNCTION("GoogleFinance(A243, ""price"")"),44.17)</f>
        <v>44.17</v>
      </c>
      <c r="D243" s="6">
        <f ca="1">IFERROR(__xludf.DUMMYFUNCTION("GoogleFinance(A243, ""eps"")"),0.4)</f>
        <v>0.4</v>
      </c>
      <c r="E243" s="6">
        <f ca="1">IFERROR(__xludf.DUMMYFUNCTION("GOOGLEFINANCE(A243,""pe"")"),110.15)</f>
        <v>110.15</v>
      </c>
      <c r="F243" s="6">
        <f ca="1">IFERROR(__xludf.DUMMYFUNCTION("GoogleFinance(A243, ""beta"")"),0.99)</f>
        <v>0.99</v>
      </c>
      <c r="G243" s="13">
        <f ca="1">IFERROR(__xludf.DUMMYFUNCTION("GOOGLEFINANCE(A243,""shares"")"),4228000000)</f>
        <v>4228000000</v>
      </c>
      <c r="H243" s="10">
        <f ca="1">IFERROR(__xludf.DUMMYFUNCTION("GOOGLEFINANCE(A243,""marketcap"")"),186750752258)</f>
        <v>186750752258</v>
      </c>
      <c r="I243" s="13">
        <f ca="1">IFERROR(__xludf.DUMMYFUNCTION("GOOGLEFINANCE(A243,""volume"")"),54198671)</f>
        <v>54198671</v>
      </c>
      <c r="J243" s="13">
        <f ca="1">IFERROR(__xludf.DUMMYFUNCTION("GOOGLEFINANCE(A243,""volumeavg"")"),45270676)</f>
        <v>45270676</v>
      </c>
      <c r="K243" s="15">
        <f ca="1">IFERROR(__xludf.DUMMYFUNCTION("GOOGLEFINANCE(A243,""high52"")"),51.28)</f>
        <v>51.28</v>
      </c>
      <c r="L243" s="15">
        <f ca="1">IFERROR(__xludf.DUMMYFUNCTION("GOOGLEFINANCE(A243,""low52"")"),26.86)</f>
        <v>26.86</v>
      </c>
      <c r="M243" s="7">
        <f t="shared" ca="1" si="0"/>
        <v>45379.717931597224</v>
      </c>
    </row>
    <row r="244" spans="1:13">
      <c r="A244" s="4" t="s">
        <v>255</v>
      </c>
      <c r="B244" s="5" t="str">
        <f ca="1">IFERROR(__xludf.DUMMYFUNCTION("GoogleFinance(A244, ""name"")"),"Intuit Inc")</f>
        <v>Intuit Inc</v>
      </c>
      <c r="C244" s="15">
        <f ca="1">IFERROR(__xludf.DUMMYFUNCTION("GoogleFinance(A244, ""price"")"),650)</f>
        <v>650</v>
      </c>
      <c r="D244" s="6">
        <f ca="1">IFERROR(__xludf.DUMMYFUNCTION("GoogleFinance(A244, ""eps"")"),9.78)</f>
        <v>9.7799999999999994</v>
      </c>
      <c r="E244" s="6">
        <f ca="1">IFERROR(__xludf.DUMMYFUNCTION("GOOGLEFINANCE(A244,""pe"")"),66.44)</f>
        <v>66.44</v>
      </c>
      <c r="F244" s="6">
        <f ca="1">IFERROR(__xludf.DUMMYFUNCTION("GoogleFinance(A244, ""beta"")"),1.22)</f>
        <v>1.22</v>
      </c>
      <c r="G244" s="13">
        <f ca="1">IFERROR(__xludf.DUMMYFUNCTION("GOOGLEFINANCE(A244,""shares"")"),279979000)</f>
        <v>279979000</v>
      </c>
      <c r="H244" s="10">
        <f ca="1">IFERROR(__xludf.DUMMYFUNCTION("GOOGLEFINANCE(A244,""marketcap"")"),181986350000)</f>
        <v>181986350000</v>
      </c>
      <c r="I244" s="13">
        <f ca="1">IFERROR(__xludf.DUMMYFUNCTION("GOOGLEFINANCE(A244,""volume"")"),1163222)</f>
        <v>1163222</v>
      </c>
      <c r="J244" s="13">
        <f ca="1">IFERROR(__xludf.DUMMYFUNCTION("GOOGLEFINANCE(A244,""volumeavg"")"),1330215)</f>
        <v>1330215</v>
      </c>
      <c r="K244" s="15">
        <f ca="1">IFERROR(__xludf.DUMMYFUNCTION("GOOGLEFINANCE(A244,""high52"")"),671.01)</f>
        <v>671.01</v>
      </c>
      <c r="L244" s="15">
        <f ca="1">IFERROR(__xludf.DUMMYFUNCTION("GOOGLEFINANCE(A244,""low52"")"),400.22)</f>
        <v>400.22</v>
      </c>
      <c r="M244" s="7">
        <f t="shared" ca="1" si="0"/>
        <v>45379.717931597224</v>
      </c>
    </row>
    <row r="245" spans="1:13">
      <c r="A245" s="4" t="s">
        <v>256</v>
      </c>
      <c r="B245" s="5" t="str">
        <f ca="1">IFERROR(__xludf.DUMMYFUNCTION("GoogleFinance(A245, ""name"")"),"Invitation Homes Inc")</f>
        <v>Invitation Homes Inc</v>
      </c>
      <c r="C245" s="15">
        <f ca="1">IFERROR(__xludf.DUMMYFUNCTION("GoogleFinance(A245, ""price"")"),35.61)</f>
        <v>35.61</v>
      </c>
      <c r="D245" s="6">
        <f ca="1">IFERROR(__xludf.DUMMYFUNCTION("GoogleFinance(A245, ""eps"")"),0.85)</f>
        <v>0.85</v>
      </c>
      <c r="E245" s="6">
        <f ca="1">IFERROR(__xludf.DUMMYFUNCTION("GOOGLEFINANCE(A245,""pe"")"),42.1)</f>
        <v>42.1</v>
      </c>
      <c r="F245" s="6">
        <f ca="1">IFERROR(__xludf.DUMMYFUNCTION("GoogleFinance(A245, ""beta"")"),0.94)</f>
        <v>0.94</v>
      </c>
      <c r="G245" s="13">
        <f ca="1">IFERROR(__xludf.DUMMYFUNCTION("GOOGLEFINANCE(A245,""shares"")"),611958000)</f>
        <v>611958000</v>
      </c>
      <c r="H245" s="10">
        <f ca="1">IFERROR(__xludf.DUMMYFUNCTION("GOOGLEFINANCE(A245,""marketcap"")"),21791828314)</f>
        <v>21791828314</v>
      </c>
      <c r="I245" s="13">
        <f ca="1">IFERROR(__xludf.DUMMYFUNCTION("GOOGLEFINANCE(A245,""volume"")"),3742897)</f>
        <v>3742897</v>
      </c>
      <c r="J245" s="13">
        <f ca="1">IFERROR(__xludf.DUMMYFUNCTION("GOOGLEFINANCE(A245,""volumeavg"")"),3329970)</f>
        <v>3329970</v>
      </c>
      <c r="K245" s="15">
        <f ca="1">IFERROR(__xludf.DUMMYFUNCTION("GOOGLEFINANCE(A245,""high52"")"),36.53)</f>
        <v>36.53</v>
      </c>
      <c r="L245" s="15">
        <f ca="1">IFERROR(__xludf.DUMMYFUNCTION("GOOGLEFINANCE(A245,""low52"")"),28.49)</f>
        <v>28.49</v>
      </c>
      <c r="M245" s="7">
        <f t="shared" ca="1" si="0"/>
        <v>45379.717931597224</v>
      </c>
    </row>
    <row r="246" spans="1:13">
      <c r="A246" s="4" t="s">
        <v>257</v>
      </c>
      <c r="B246" s="5" t="str">
        <f ca="1">IFERROR(__xludf.DUMMYFUNCTION("GoogleFinance(A246, ""name"")"),"International Paper Co")</f>
        <v>International Paper Co</v>
      </c>
      <c r="C246" s="15">
        <f ca="1">IFERROR(__xludf.DUMMYFUNCTION("GoogleFinance(A246, ""price"")"),39.02)</f>
        <v>39.020000000000003</v>
      </c>
      <c r="D246" s="6">
        <f ca="1">IFERROR(__xludf.DUMMYFUNCTION("GoogleFinance(A246, ""eps"")"),0.87)</f>
        <v>0.87</v>
      </c>
      <c r="E246" s="6">
        <f ca="1">IFERROR(__xludf.DUMMYFUNCTION("GOOGLEFINANCE(A246,""pe"")"),45.11)</f>
        <v>45.11</v>
      </c>
      <c r="F246" s="6">
        <f ca="1">IFERROR(__xludf.DUMMYFUNCTION("GoogleFinance(A246, ""beta"")"),0.98)</f>
        <v>0.98</v>
      </c>
      <c r="G246" s="13">
        <f ca="1">IFERROR(__xludf.DUMMYFUNCTION("GOOGLEFINANCE(A246,""shares"")"),346354000)</f>
        <v>346354000</v>
      </c>
      <c r="H246" s="10">
        <f ca="1">IFERROR(__xludf.DUMMYFUNCTION("GOOGLEFINANCE(A246,""marketcap"")"),13514725434)</f>
        <v>13514725434</v>
      </c>
      <c r="I246" s="13">
        <f ca="1">IFERROR(__xludf.DUMMYFUNCTION("GOOGLEFINANCE(A246,""volume"")"),7770608)</f>
        <v>7770608</v>
      </c>
      <c r="J246" s="13">
        <f ca="1">IFERROR(__xludf.DUMMYFUNCTION("GOOGLEFINANCE(A246,""volumeavg"")"),5008440)</f>
        <v>5008440</v>
      </c>
      <c r="K246" s="15">
        <f ca="1">IFERROR(__xludf.DUMMYFUNCTION("GOOGLEFINANCE(A246,""high52"")"),41.28)</f>
        <v>41.28</v>
      </c>
      <c r="L246" s="15">
        <f ca="1">IFERROR(__xludf.DUMMYFUNCTION("GOOGLEFINANCE(A246,""low52"")"),29.01)</f>
        <v>29.01</v>
      </c>
      <c r="M246" s="7">
        <f t="shared" ca="1" si="0"/>
        <v>45379.717931597224</v>
      </c>
    </row>
    <row r="247" spans="1:13">
      <c r="A247" s="4" t="s">
        <v>258</v>
      </c>
      <c r="B247" s="5" t="str">
        <f ca="1">IFERROR(__xludf.DUMMYFUNCTION("GoogleFinance(A247, ""name"")"),"Interpublic Group of Companies Inc")</f>
        <v>Interpublic Group of Companies Inc</v>
      </c>
      <c r="C247" s="15">
        <f ca="1">IFERROR(__xludf.DUMMYFUNCTION("GoogleFinance(A247, ""price"")"),32.63)</f>
        <v>32.630000000000003</v>
      </c>
      <c r="D247" s="6">
        <f ca="1">IFERROR(__xludf.DUMMYFUNCTION("GoogleFinance(A247, ""eps"")"),2.85)</f>
        <v>2.85</v>
      </c>
      <c r="E247" s="6">
        <f ca="1">IFERROR(__xludf.DUMMYFUNCTION("GOOGLEFINANCE(A247,""pe"")"),11.46)</f>
        <v>11.46</v>
      </c>
      <c r="F247" s="6">
        <f ca="1">IFERROR(__xludf.DUMMYFUNCTION("GoogleFinance(A247, ""beta"")"),1.13)</f>
        <v>1.1299999999999999</v>
      </c>
      <c r="G247" s="13">
        <f ca="1">IFERROR(__xludf.DUMMYFUNCTION("GOOGLEFINANCE(A247,""shares"")"),378725000)</f>
        <v>378725000</v>
      </c>
      <c r="H247" s="10">
        <f ca="1">IFERROR(__xludf.DUMMYFUNCTION("GOOGLEFINANCE(A247,""marketcap"")"),12357806943)</f>
        <v>12357806943</v>
      </c>
      <c r="I247" s="13">
        <f ca="1">IFERROR(__xludf.DUMMYFUNCTION("GOOGLEFINANCE(A247,""volume"")"),5884953)</f>
        <v>5884953</v>
      </c>
      <c r="J247" s="13">
        <f ca="1">IFERROR(__xludf.DUMMYFUNCTION("GOOGLEFINANCE(A247,""volumeavg"")"),4476967)</f>
        <v>4476967</v>
      </c>
      <c r="K247" s="15">
        <f ca="1">IFERROR(__xludf.DUMMYFUNCTION("GOOGLEFINANCE(A247,""high52"")"),40.95)</f>
        <v>40.950000000000003</v>
      </c>
      <c r="L247" s="15">
        <f ca="1">IFERROR(__xludf.DUMMYFUNCTION("GOOGLEFINANCE(A247,""low52"")"),27.2)</f>
        <v>27.2</v>
      </c>
      <c r="M247" s="7">
        <f t="shared" ca="1" si="0"/>
        <v>45379.717931597224</v>
      </c>
    </row>
    <row r="248" spans="1:13">
      <c r="A248" s="4" t="s">
        <v>259</v>
      </c>
      <c r="B248" s="5" t="str">
        <f ca="1">IFERROR(__xludf.DUMMYFUNCTION("GoogleFinance(A248, ""name"")"),"Iqvia Holdings Inc")</f>
        <v>Iqvia Holdings Inc</v>
      </c>
      <c r="C248" s="15">
        <f ca="1">IFERROR(__xludf.DUMMYFUNCTION("GoogleFinance(A248, ""price"")"),252.89)</f>
        <v>252.89</v>
      </c>
      <c r="D248" s="6">
        <f ca="1">IFERROR(__xludf.DUMMYFUNCTION("GoogleFinance(A248, ""eps"")"),7.29)</f>
        <v>7.29</v>
      </c>
      <c r="E248" s="6">
        <f ca="1">IFERROR(__xludf.DUMMYFUNCTION("GOOGLEFINANCE(A248,""pe"")"),34.69)</f>
        <v>34.69</v>
      </c>
      <c r="F248" s="6">
        <f ca="1">IFERROR(__xludf.DUMMYFUNCTION("GoogleFinance(A248, ""beta"")"),1.51)</f>
        <v>1.51</v>
      </c>
      <c r="G248" s="13">
        <f ca="1">IFERROR(__xludf.DUMMYFUNCTION("GOOGLEFINANCE(A248,""shares"")"),182014000)</f>
        <v>182014000</v>
      </c>
      <c r="H248" s="10">
        <f ca="1">IFERROR(__xludf.DUMMYFUNCTION("GOOGLEFINANCE(A248,""marketcap"")"),45899509600)</f>
        <v>45899509600</v>
      </c>
      <c r="I248" s="13">
        <f ca="1">IFERROR(__xludf.DUMMYFUNCTION("GOOGLEFINANCE(A248,""volume"")"),771448)</f>
        <v>771448</v>
      </c>
      <c r="J248" s="13">
        <f ca="1">IFERROR(__xludf.DUMMYFUNCTION("GOOGLEFINANCE(A248,""volumeavg"")"),1003786)</f>
        <v>1003786</v>
      </c>
      <c r="K248" s="15">
        <f ca="1">IFERROR(__xludf.DUMMYFUNCTION("GOOGLEFINANCE(A248,""high52"")"),261.73)</f>
        <v>261.73</v>
      </c>
      <c r="L248" s="15">
        <f ca="1">IFERROR(__xludf.DUMMYFUNCTION("GOOGLEFINANCE(A248,""low52"")"),167.42)</f>
        <v>167.42</v>
      </c>
      <c r="M248" s="7">
        <f t="shared" ca="1" si="0"/>
        <v>45379.717931597224</v>
      </c>
    </row>
    <row r="249" spans="1:13">
      <c r="A249" s="4" t="s">
        <v>260</v>
      </c>
      <c r="B249" s="5" t="str">
        <f ca="1">IFERROR(__xludf.DUMMYFUNCTION("GoogleFinance(A249, ""name"")"),"Ingersoll Rand Inc")</f>
        <v>Ingersoll Rand Inc</v>
      </c>
      <c r="C249" s="15">
        <f ca="1">IFERROR(__xludf.DUMMYFUNCTION("GoogleFinance(A249, ""price"")"),94.95)</f>
        <v>94.95</v>
      </c>
      <c r="D249" s="6">
        <f ca="1">IFERROR(__xludf.DUMMYFUNCTION("GoogleFinance(A249, ""eps"")"),1.9)</f>
        <v>1.9</v>
      </c>
      <c r="E249" s="6">
        <f ca="1">IFERROR(__xludf.DUMMYFUNCTION("GOOGLEFINANCE(A249,""pe"")"),49.87)</f>
        <v>49.87</v>
      </c>
      <c r="F249" s="6">
        <f ca="1">IFERROR(__xludf.DUMMYFUNCTION("GoogleFinance(A249, ""beta"")"),1.44)</f>
        <v>1.44</v>
      </c>
      <c r="G249" s="13">
        <f ca="1">IFERROR(__xludf.DUMMYFUNCTION("GOOGLEFINANCE(A249,""shares"")"),403436000)</f>
        <v>403436000</v>
      </c>
      <c r="H249" s="10">
        <f ca="1">IFERROR(__xludf.DUMMYFUNCTION("GOOGLEFINANCE(A249,""marketcap"")"),38306237473)</f>
        <v>38306237473</v>
      </c>
      <c r="I249" s="13">
        <f ca="1">IFERROR(__xludf.DUMMYFUNCTION("GOOGLEFINANCE(A249,""volume"")"),2557113)</f>
        <v>2557113</v>
      </c>
      <c r="J249" s="13">
        <f ca="1">IFERROR(__xludf.DUMMYFUNCTION("GOOGLEFINANCE(A249,""volumeavg"")"),2426154)</f>
        <v>2426154</v>
      </c>
      <c r="K249" s="15">
        <f ca="1">IFERROR(__xludf.DUMMYFUNCTION("GOOGLEFINANCE(A249,""high52"")"),96.17)</f>
        <v>96.17</v>
      </c>
      <c r="L249" s="15">
        <f ca="1">IFERROR(__xludf.DUMMYFUNCTION("GOOGLEFINANCE(A249,""low52"")"),53.24)</f>
        <v>53.24</v>
      </c>
      <c r="M249" s="7">
        <f t="shared" ca="1" si="0"/>
        <v>45379.717931597224</v>
      </c>
    </row>
    <row r="250" spans="1:13">
      <c r="A250" s="4" t="s">
        <v>261</v>
      </c>
      <c r="B250" s="5" t="str">
        <f ca="1">IFERROR(__xludf.DUMMYFUNCTION("GoogleFinance(A250, ""name"")"),"Iron Mountain Inc")</f>
        <v>Iron Mountain Inc</v>
      </c>
      <c r="C250" s="15">
        <f ca="1">IFERROR(__xludf.DUMMYFUNCTION("GoogleFinance(A250, ""price"")"),80.21)</f>
        <v>80.209999999999994</v>
      </c>
      <c r="D250" s="6">
        <f ca="1">IFERROR(__xludf.DUMMYFUNCTION("GoogleFinance(A250, ""eps"")"),0.63)</f>
        <v>0.63</v>
      </c>
      <c r="E250" s="6">
        <f ca="1">IFERROR(__xludf.DUMMYFUNCTION("GOOGLEFINANCE(A250,""pe"")"),127.98)</f>
        <v>127.98</v>
      </c>
      <c r="F250" s="6">
        <f ca="1">IFERROR(__xludf.DUMMYFUNCTION("GoogleFinance(A250, ""beta"")"),0.91)</f>
        <v>0.91</v>
      </c>
      <c r="G250" s="13">
        <f ca="1">IFERROR(__xludf.DUMMYFUNCTION("GOOGLEFINANCE(A250,""shares"")"),292276000)</f>
        <v>292276000</v>
      </c>
      <c r="H250" s="10">
        <f ca="1">IFERROR(__xludf.DUMMYFUNCTION("GOOGLEFINANCE(A250,""marketcap"")"),23443425608)</f>
        <v>23443425608</v>
      </c>
      <c r="I250" s="13">
        <f ca="1">IFERROR(__xludf.DUMMYFUNCTION("GOOGLEFINANCE(A250,""volume"")"),1345291)</f>
        <v>1345291</v>
      </c>
      <c r="J250" s="13">
        <f ca="1">IFERROR(__xludf.DUMMYFUNCTION("GOOGLEFINANCE(A250,""volumeavg"")"),1661000)</f>
        <v>1661000</v>
      </c>
      <c r="K250" s="15">
        <f ca="1">IFERROR(__xludf.DUMMYFUNCTION("GOOGLEFINANCE(A250,""high52"")"),82.19)</f>
        <v>82.19</v>
      </c>
      <c r="L250" s="15">
        <f ca="1">IFERROR(__xludf.DUMMYFUNCTION("GOOGLEFINANCE(A250,""low52"")"),50.49)</f>
        <v>50.49</v>
      </c>
      <c r="M250" s="7">
        <f t="shared" ca="1" si="0"/>
        <v>45379.717931597224</v>
      </c>
    </row>
    <row r="251" spans="1:13">
      <c r="A251" s="4" t="s">
        <v>262</v>
      </c>
      <c r="B251" s="5" t="str">
        <f ca="1">IFERROR(__xludf.DUMMYFUNCTION("GoogleFinance(A251, ""name"")"),"Intuitive Surgical, Inc.")</f>
        <v>Intuitive Surgical, Inc.</v>
      </c>
      <c r="C251" s="15">
        <f ca="1">IFERROR(__xludf.DUMMYFUNCTION("GoogleFinance(A251, ""price"")"),399.09)</f>
        <v>399.09</v>
      </c>
      <c r="D251" s="6">
        <f ca="1">IFERROR(__xludf.DUMMYFUNCTION("GoogleFinance(A251, ""eps"")"),5.03)</f>
        <v>5.03</v>
      </c>
      <c r="E251" s="6">
        <f ca="1">IFERROR(__xludf.DUMMYFUNCTION("GOOGLEFINANCE(A251,""pe"")"),79.33)</f>
        <v>79.33</v>
      </c>
      <c r="F251" s="6">
        <f ca="1">IFERROR(__xludf.DUMMYFUNCTION("GoogleFinance(A251, ""beta"")"),1.36)</f>
        <v>1.36</v>
      </c>
      <c r="G251" s="13">
        <f ca="1">IFERROR(__xludf.DUMMYFUNCTION("GOOGLEFINANCE(A251,""shares"")"),354449000)</f>
        <v>354449000</v>
      </c>
      <c r="H251" s="10">
        <f ca="1">IFERROR(__xludf.DUMMYFUNCTION("GOOGLEFINANCE(A251,""marketcap"")"),141456890475)</f>
        <v>141456890475</v>
      </c>
      <c r="I251" s="13">
        <f ca="1">IFERROR(__xludf.DUMMYFUNCTION("GOOGLEFINANCE(A251,""volume"")"),1124758)</f>
        <v>1124758</v>
      </c>
      <c r="J251" s="13">
        <f ca="1">IFERROR(__xludf.DUMMYFUNCTION("GOOGLEFINANCE(A251,""volumeavg"")"),1505248)</f>
        <v>1505248</v>
      </c>
      <c r="K251" s="15">
        <f ca="1">IFERROR(__xludf.DUMMYFUNCTION("GOOGLEFINANCE(A251,""high52"")"),403.76)</f>
        <v>403.76</v>
      </c>
      <c r="L251" s="15">
        <f ca="1">IFERROR(__xludf.DUMMYFUNCTION("GOOGLEFINANCE(A251,""low52"")"),246.63)</f>
        <v>246.63</v>
      </c>
      <c r="M251" s="7">
        <f t="shared" ca="1" si="0"/>
        <v>45379.717931597224</v>
      </c>
    </row>
    <row r="252" spans="1:13">
      <c r="A252" s="4" t="s">
        <v>263</v>
      </c>
      <c r="B252" s="5" t="str">
        <f ca="1">IFERROR(__xludf.DUMMYFUNCTION("GoogleFinance(A252, ""name"")"),"Gartner Inc")</f>
        <v>Gartner Inc</v>
      </c>
      <c r="C252" s="15">
        <f ca="1">IFERROR(__xludf.DUMMYFUNCTION("GoogleFinance(A252, ""price"")"),476.67)</f>
        <v>476.67</v>
      </c>
      <c r="D252" s="6">
        <f ca="1">IFERROR(__xludf.DUMMYFUNCTION("GoogleFinance(A252, ""eps"")"),11.08)</f>
        <v>11.08</v>
      </c>
      <c r="E252" s="6">
        <f ca="1">IFERROR(__xludf.DUMMYFUNCTION("GOOGLEFINANCE(A252,""pe"")"),43.04)</f>
        <v>43.04</v>
      </c>
      <c r="F252" s="6">
        <f ca="1">IFERROR(__xludf.DUMMYFUNCTION("GoogleFinance(A252, ""beta"")"),1.29)</f>
        <v>1.29</v>
      </c>
      <c r="G252" s="13">
        <f ca="1">IFERROR(__xludf.DUMMYFUNCTION("GOOGLEFINANCE(A252,""shares"")"),77968000)</f>
        <v>77968000</v>
      </c>
      <c r="H252" s="10">
        <f ca="1">IFERROR(__xludf.DUMMYFUNCTION("GOOGLEFINANCE(A252,""marketcap"")"),37164950406)</f>
        <v>37164950406</v>
      </c>
      <c r="I252" s="13">
        <f ca="1">IFERROR(__xludf.DUMMYFUNCTION("GOOGLEFINANCE(A252,""volume"")"),402282)</f>
        <v>402282</v>
      </c>
      <c r="J252" s="13">
        <f ca="1">IFERROR(__xludf.DUMMYFUNCTION("GOOGLEFINANCE(A252,""volumeavg"")"),350237)</f>
        <v>350237</v>
      </c>
      <c r="K252" s="15">
        <f ca="1">IFERROR(__xludf.DUMMYFUNCTION("GOOGLEFINANCE(A252,""high52"")"),486.54)</f>
        <v>486.54</v>
      </c>
      <c r="L252" s="15">
        <f ca="1">IFERROR(__xludf.DUMMYFUNCTION("GOOGLEFINANCE(A252,""low52"")"),292.6)</f>
        <v>292.60000000000002</v>
      </c>
      <c r="M252" s="7">
        <f t="shared" ca="1" si="0"/>
        <v>45379.717931597224</v>
      </c>
    </row>
    <row r="253" spans="1:13">
      <c r="A253" s="4" t="s">
        <v>264</v>
      </c>
      <c r="B253" s="5" t="str">
        <f ca="1">IFERROR(__xludf.DUMMYFUNCTION("GoogleFinance(A253, ""name"")"),"Illinois Tool Works Inc.")</f>
        <v>Illinois Tool Works Inc.</v>
      </c>
      <c r="C253" s="15">
        <f ca="1">IFERROR(__xludf.DUMMYFUNCTION("GoogleFinance(A253, ""price"")"),268.33)</f>
        <v>268.33</v>
      </c>
      <c r="D253" s="6">
        <f ca="1">IFERROR(__xludf.DUMMYFUNCTION("GoogleFinance(A253, ""eps"")"),9.74)</f>
        <v>9.74</v>
      </c>
      <c r="E253" s="6">
        <f ca="1">IFERROR(__xludf.DUMMYFUNCTION("GOOGLEFINANCE(A253,""pe"")"),27.55)</f>
        <v>27.55</v>
      </c>
      <c r="F253" s="6">
        <f ca="1">IFERROR(__xludf.DUMMYFUNCTION("GoogleFinance(A253, ""beta"")"),1.13)</f>
        <v>1.1299999999999999</v>
      </c>
      <c r="G253" s="13">
        <f ca="1">IFERROR(__xludf.DUMMYFUNCTION("GOOGLEFINANCE(A253,""shares"")"),298800000)</f>
        <v>298800000</v>
      </c>
      <c r="H253" s="10">
        <f ca="1">IFERROR(__xludf.DUMMYFUNCTION("GOOGLEFINANCE(A253,""marketcap"")"),80162295504)</f>
        <v>80162295504</v>
      </c>
      <c r="I253" s="13">
        <f ca="1">IFERROR(__xludf.DUMMYFUNCTION("GOOGLEFINANCE(A253,""volume"")"),1132516)</f>
        <v>1132516</v>
      </c>
      <c r="J253" s="13">
        <f ca="1">IFERROR(__xludf.DUMMYFUNCTION("GOOGLEFINANCE(A253,""volumeavg"")"),1455700)</f>
        <v>1455700</v>
      </c>
      <c r="K253" s="15">
        <f ca="1">IFERROR(__xludf.DUMMYFUNCTION("GOOGLEFINANCE(A253,""high52"")"),271.15)</f>
        <v>271.14999999999998</v>
      </c>
      <c r="L253" s="15">
        <f ca="1">IFERROR(__xludf.DUMMYFUNCTION("GOOGLEFINANCE(A253,""low52"")"),217.06)</f>
        <v>217.06</v>
      </c>
      <c r="M253" s="7">
        <f t="shared" ca="1" si="0"/>
        <v>45379.717931597224</v>
      </c>
    </row>
    <row r="254" spans="1:13">
      <c r="A254" s="4" t="s">
        <v>265</v>
      </c>
      <c r="B254" s="5" t="str">
        <f ca="1">IFERROR(__xludf.DUMMYFUNCTION("GoogleFinance(A254, ""name"")"),"Invesco Ltd")</f>
        <v>Invesco Ltd</v>
      </c>
      <c r="C254" s="15">
        <f ca="1">IFERROR(__xludf.DUMMYFUNCTION("GoogleFinance(A254, ""price"")"),16.59)</f>
        <v>16.59</v>
      </c>
      <c r="D254" s="6">
        <f ca="1">IFERROR(__xludf.DUMMYFUNCTION("GoogleFinance(A254, ""eps"")"),-0.73)</f>
        <v>-0.73</v>
      </c>
      <c r="E254" s="6" t="str">
        <f ca="1">IFERROR(__xludf.DUMMYFUNCTION("GOOGLEFINANCE(A254,""pe"")"),"#N/A")</f>
        <v>#N/A</v>
      </c>
      <c r="F254" s="6">
        <f ca="1">IFERROR(__xludf.DUMMYFUNCTION("GoogleFinance(A254, ""beta"")"),1.43)</f>
        <v>1.43</v>
      </c>
      <c r="G254" s="13">
        <f ca="1">IFERROR(__xludf.DUMMYFUNCTION("GOOGLEFINANCE(A254,""shares"")"),449204000)</f>
        <v>449204000</v>
      </c>
      <c r="H254" s="10">
        <f ca="1">IFERROR(__xludf.DUMMYFUNCTION("GOOGLEFINANCE(A254,""marketcap"")"),7452297746)</f>
        <v>7452297746</v>
      </c>
      <c r="I254" s="13">
        <f ca="1">IFERROR(__xludf.DUMMYFUNCTION("GOOGLEFINANCE(A254,""volume"")"),4757341)</f>
        <v>4757341</v>
      </c>
      <c r="J254" s="13">
        <f ca="1">IFERROR(__xludf.DUMMYFUNCTION("GOOGLEFINANCE(A254,""volumeavg"")"),4082514)</f>
        <v>4082514</v>
      </c>
      <c r="K254" s="15">
        <f ca="1">IFERROR(__xludf.DUMMYFUNCTION("GOOGLEFINANCE(A254,""high52"")"),18.71)</f>
        <v>18.71</v>
      </c>
      <c r="L254" s="15">
        <f ca="1">IFERROR(__xludf.DUMMYFUNCTION("GOOGLEFINANCE(A254,""low52"")"),12.48)</f>
        <v>12.48</v>
      </c>
      <c r="M254" s="7">
        <f t="shared" ca="1" si="0"/>
        <v>45379.717931597224</v>
      </c>
    </row>
    <row r="255" spans="1:13">
      <c r="A255" s="4" t="s">
        <v>266</v>
      </c>
      <c r="B255" s="5" t="str">
        <f ca="1">IFERROR(__xludf.DUMMYFUNCTION("GoogleFinance(A255, ""name"")"),"Jacobs Solutions Inc")</f>
        <v>Jacobs Solutions Inc</v>
      </c>
      <c r="C255" s="15">
        <f ca="1">IFERROR(__xludf.DUMMYFUNCTION("GoogleFinance(A255, ""price"")"),153.73)</f>
        <v>153.72999999999999</v>
      </c>
      <c r="D255" s="6">
        <f ca="1">IFERROR(__xludf.DUMMYFUNCTION("GoogleFinance(A255, ""eps"")"),5.6)</f>
        <v>5.6</v>
      </c>
      <c r="E255" s="6">
        <f ca="1">IFERROR(__xludf.DUMMYFUNCTION("GOOGLEFINANCE(A255,""pe"")"),27.44)</f>
        <v>27.44</v>
      </c>
      <c r="F255" s="6">
        <f ca="1">IFERROR(__xludf.DUMMYFUNCTION("GoogleFinance(A255, ""beta"")"),0.73)</f>
        <v>0.73</v>
      </c>
      <c r="G255" s="13">
        <f ca="1">IFERROR(__xludf.DUMMYFUNCTION("GOOGLEFINANCE(A255,""shares"")"),125651000)</f>
        <v>125651000</v>
      </c>
      <c r="H255" s="10">
        <f ca="1">IFERROR(__xludf.DUMMYFUNCTION("GOOGLEFINANCE(A255,""marketcap"")"),19316312320)</f>
        <v>19316312320</v>
      </c>
      <c r="I255" s="13">
        <f ca="1">IFERROR(__xludf.DUMMYFUNCTION("GOOGLEFINANCE(A255,""volume"")"),496695)</f>
        <v>496695</v>
      </c>
      <c r="J255" s="13">
        <f ca="1">IFERROR(__xludf.DUMMYFUNCTION("GOOGLEFINANCE(A255,""volumeavg"")"),565701)</f>
        <v>565701</v>
      </c>
      <c r="K255" s="15">
        <f ca="1">IFERROR(__xludf.DUMMYFUNCTION("GOOGLEFINANCE(A255,""high52"")"),154.5)</f>
        <v>154.5</v>
      </c>
      <c r="L255" s="15">
        <f ca="1">IFERROR(__xludf.DUMMYFUNCTION("GOOGLEFINANCE(A255,""low52"")"),109)</f>
        <v>109</v>
      </c>
      <c r="M255" s="7">
        <f t="shared" ca="1" si="0"/>
        <v>45379.717931597224</v>
      </c>
    </row>
    <row r="256" spans="1:13">
      <c r="A256" s="4" t="s">
        <v>267</v>
      </c>
      <c r="B256" s="5" t="str">
        <f ca="1">IFERROR(__xludf.DUMMYFUNCTION("GoogleFinance(A256, ""name"")"),"J B Hunt Transport Services Inc")</f>
        <v>J B Hunt Transport Services Inc</v>
      </c>
      <c r="C256" s="15">
        <f ca="1">IFERROR(__xludf.DUMMYFUNCTION("GoogleFinance(A256, ""price"")"),199.25)</f>
        <v>199.25</v>
      </c>
      <c r="D256" s="6">
        <f ca="1">IFERROR(__xludf.DUMMYFUNCTION("GoogleFinance(A256, ""eps"")"),6.97)</f>
        <v>6.97</v>
      </c>
      <c r="E256" s="6">
        <f ca="1">IFERROR(__xludf.DUMMYFUNCTION("GOOGLEFINANCE(A256,""pe"")"),28.58)</f>
        <v>28.58</v>
      </c>
      <c r="F256" s="6">
        <f ca="1">IFERROR(__xludf.DUMMYFUNCTION("GoogleFinance(A256, ""beta"")"),1.11)</f>
        <v>1.1100000000000001</v>
      </c>
      <c r="G256" s="13">
        <f ca="1">IFERROR(__xludf.DUMMYFUNCTION("GOOGLEFINANCE(A256,""shares"")"),103298000)</f>
        <v>103298000</v>
      </c>
      <c r="H256" s="10">
        <f ca="1">IFERROR(__xludf.DUMMYFUNCTION("GOOGLEFINANCE(A256,""marketcap"")"),20582206200)</f>
        <v>20582206200</v>
      </c>
      <c r="I256" s="13">
        <f ca="1">IFERROR(__xludf.DUMMYFUNCTION("GOOGLEFINANCE(A256,""volume"")"),632820)</f>
        <v>632820</v>
      </c>
      <c r="J256" s="13">
        <f ca="1">IFERROR(__xludf.DUMMYFUNCTION("GOOGLEFINANCE(A256,""volumeavg"")"),725483)</f>
        <v>725483</v>
      </c>
      <c r="K256" s="15">
        <f ca="1">IFERROR(__xludf.DUMMYFUNCTION("GOOGLEFINANCE(A256,""high52"")"),219.51)</f>
        <v>219.51</v>
      </c>
      <c r="L256" s="15">
        <f ca="1">IFERROR(__xludf.DUMMYFUNCTION("GOOGLEFINANCE(A256,""low52"")"),164.39)</f>
        <v>164.39</v>
      </c>
      <c r="M256" s="7">
        <f t="shared" ca="1" si="0"/>
        <v>45379.717931597224</v>
      </c>
    </row>
    <row r="257" spans="1:13">
      <c r="A257" s="4" t="s">
        <v>268</v>
      </c>
      <c r="B257" s="5" t="str">
        <f ca="1">IFERROR(__xludf.DUMMYFUNCTION("GoogleFinance(A257, ""name"")"),"Johnson Controls International PLC")</f>
        <v>Johnson Controls International PLC</v>
      </c>
      <c r="C257" s="15">
        <f ca="1">IFERROR(__xludf.DUMMYFUNCTION("GoogleFinance(A257, ""price"")"),65.32)</f>
        <v>65.319999999999993</v>
      </c>
      <c r="D257" s="6">
        <f ca="1">IFERROR(__xludf.DUMMYFUNCTION("GoogleFinance(A257, ""eps"")"),3.07)</f>
        <v>3.07</v>
      </c>
      <c r="E257" s="6">
        <f ca="1">IFERROR(__xludf.DUMMYFUNCTION("GOOGLEFINANCE(A257,""pe"")"),21.25)</f>
        <v>21.25</v>
      </c>
      <c r="F257" s="6">
        <f ca="1">IFERROR(__xludf.DUMMYFUNCTION("GoogleFinance(A257, ""beta"")"),1.24)</f>
        <v>1.24</v>
      </c>
      <c r="G257" s="13">
        <f ca="1">IFERROR(__xludf.DUMMYFUNCTION("GOOGLEFINANCE(A257,""shares"")"),681477000)</f>
        <v>681477000</v>
      </c>
      <c r="H257" s="10">
        <f ca="1">IFERROR(__xludf.DUMMYFUNCTION("GOOGLEFINANCE(A257,""marketcap"")"),44515403428)</f>
        <v>44515403428</v>
      </c>
      <c r="I257" s="13">
        <f ca="1">IFERROR(__xludf.DUMMYFUNCTION("GOOGLEFINANCE(A257,""volume"")"),9387849)</f>
        <v>9387849</v>
      </c>
      <c r="J257" s="13">
        <f ca="1">IFERROR(__xludf.DUMMYFUNCTION("GOOGLEFINANCE(A257,""volumeavg"")"),5200945)</f>
        <v>5200945</v>
      </c>
      <c r="K257" s="15">
        <f ca="1">IFERROR(__xludf.DUMMYFUNCTION("GOOGLEFINANCE(A257,""high52"")"),70.43)</f>
        <v>70.430000000000007</v>
      </c>
      <c r="L257" s="15">
        <f ca="1">IFERROR(__xludf.DUMMYFUNCTION("GOOGLEFINANCE(A257,""low52"")"),47.9)</f>
        <v>47.9</v>
      </c>
      <c r="M257" s="7">
        <f t="shared" ca="1" si="0"/>
        <v>45379.717931597224</v>
      </c>
    </row>
    <row r="258" spans="1:13">
      <c r="A258" s="4" t="s">
        <v>269</v>
      </c>
      <c r="B258" s="5" t="str">
        <f ca="1">IFERROR(__xludf.DUMMYFUNCTION("GoogleFinance(A258, ""name"")"),"Jack Henry &amp; Associates, Inc.")</f>
        <v>Jack Henry &amp; Associates, Inc.</v>
      </c>
      <c r="C258" s="15">
        <f ca="1">IFERROR(__xludf.DUMMYFUNCTION("GoogleFinance(A258, ""price"")"),173.73)</f>
        <v>173.73</v>
      </c>
      <c r="D258" s="6">
        <f ca="1">IFERROR(__xludf.DUMMYFUNCTION("GoogleFinance(A258, ""eps"")"),5.11)</f>
        <v>5.1100000000000003</v>
      </c>
      <c r="E258" s="6">
        <f ca="1">IFERROR(__xludf.DUMMYFUNCTION("GOOGLEFINANCE(A258,""pe"")"),34.01)</f>
        <v>34.01</v>
      </c>
      <c r="F258" s="6">
        <f ca="1">IFERROR(__xludf.DUMMYFUNCTION("GoogleFinance(A258, ""beta"")"),0.66)</f>
        <v>0.66</v>
      </c>
      <c r="G258" s="13">
        <f ca="1">IFERROR(__xludf.DUMMYFUNCTION("GOOGLEFINANCE(A258,""shares"")"),72868000)</f>
        <v>72868000</v>
      </c>
      <c r="H258" s="10">
        <f ca="1">IFERROR(__xludf.DUMMYFUNCTION("GOOGLEFINANCE(A258,""marketcap"")"),12659303472)</f>
        <v>12659303472</v>
      </c>
      <c r="I258" s="13">
        <f ca="1">IFERROR(__xludf.DUMMYFUNCTION("GOOGLEFINANCE(A258,""volume"")"),411616)</f>
        <v>411616</v>
      </c>
      <c r="J258" s="13">
        <f ca="1">IFERROR(__xludf.DUMMYFUNCTION("GOOGLEFINANCE(A258,""volumeavg"")"),385617)</f>
        <v>385617</v>
      </c>
      <c r="K258" s="15">
        <f ca="1">IFERROR(__xludf.DUMMYFUNCTION("GOOGLEFINANCE(A258,""high52"")"),178.37)</f>
        <v>178.37</v>
      </c>
      <c r="L258" s="15">
        <f ca="1">IFERROR(__xludf.DUMMYFUNCTION("GOOGLEFINANCE(A258,""low52"")"),136.57)</f>
        <v>136.57</v>
      </c>
      <c r="M258" s="7">
        <f t="shared" ca="1" si="0"/>
        <v>45379.717931597224</v>
      </c>
    </row>
    <row r="259" spans="1:13">
      <c r="A259" s="4" t="s">
        <v>270</v>
      </c>
      <c r="B259" s="5" t="str">
        <f ca="1">IFERROR(__xludf.DUMMYFUNCTION("GoogleFinance(A259, ""name"")"),"Johnson &amp; Johnson")</f>
        <v>Johnson &amp; Johnson</v>
      </c>
      <c r="C259" s="15">
        <f ca="1">IFERROR(__xludf.DUMMYFUNCTION("GoogleFinance(A259, ""price"")"),158.19)</f>
        <v>158.19</v>
      </c>
      <c r="D259" s="6">
        <f ca="1">IFERROR(__xludf.DUMMYFUNCTION("GoogleFinance(A259, ""eps"")"),5.2)</f>
        <v>5.2</v>
      </c>
      <c r="E259" s="6">
        <f ca="1">IFERROR(__xludf.DUMMYFUNCTION("GOOGLEFINANCE(A259,""pe"")"),30.39)</f>
        <v>30.39</v>
      </c>
      <c r="F259" s="6">
        <f ca="1">IFERROR(__xludf.DUMMYFUNCTION("GoogleFinance(A259, ""beta"")"),0.53)</f>
        <v>0.53</v>
      </c>
      <c r="G259" s="13">
        <f ca="1">IFERROR(__xludf.DUMMYFUNCTION("GOOGLEFINANCE(A259,""shares"")"),2408767000)</f>
        <v>2408767000</v>
      </c>
      <c r="H259" s="10">
        <f ca="1">IFERROR(__xludf.DUMMYFUNCTION("GOOGLEFINANCE(A259,""marketcap"")"),381203420463)</f>
        <v>381203420463</v>
      </c>
      <c r="I259" s="13">
        <f ca="1">IFERROR(__xludf.DUMMYFUNCTION("GOOGLEFINANCE(A259,""volume"")"),6181397)</f>
        <v>6181397</v>
      </c>
      <c r="J259" s="13">
        <f ca="1">IFERROR(__xludf.DUMMYFUNCTION("GOOGLEFINANCE(A259,""volumeavg"")"),6969520)</f>
        <v>6969520</v>
      </c>
      <c r="K259" s="15">
        <f ca="1">IFERROR(__xludf.DUMMYFUNCTION("GOOGLEFINANCE(A259,""high52"")"),175.97)</f>
        <v>175.97</v>
      </c>
      <c r="L259" s="15">
        <f ca="1">IFERROR(__xludf.DUMMYFUNCTION("GOOGLEFINANCE(A259,""low52"")"),144.95)</f>
        <v>144.94999999999999</v>
      </c>
      <c r="M259" s="7">
        <f t="shared" ca="1" si="0"/>
        <v>45379.717931597224</v>
      </c>
    </row>
    <row r="260" spans="1:13">
      <c r="A260" s="4" t="s">
        <v>271</v>
      </c>
      <c r="B260" s="5" t="str">
        <f ca="1">IFERROR(__xludf.DUMMYFUNCTION("GoogleFinance(A260, ""name"")"),"Juniper Networks, Inc.")</f>
        <v>Juniper Networks, Inc.</v>
      </c>
      <c r="C260" s="15">
        <f ca="1">IFERROR(__xludf.DUMMYFUNCTION("GoogleFinance(A260, ""price"")"),37.06)</f>
        <v>37.06</v>
      </c>
      <c r="D260" s="6">
        <f ca="1">IFERROR(__xludf.DUMMYFUNCTION("GoogleFinance(A260, ""eps"")"),0.95)</f>
        <v>0.95</v>
      </c>
      <c r="E260" s="6">
        <f ca="1">IFERROR(__xludf.DUMMYFUNCTION("GOOGLEFINANCE(A260,""pe"")"),38.94)</f>
        <v>38.94</v>
      </c>
      <c r="F260" s="6">
        <f ca="1">IFERROR(__xludf.DUMMYFUNCTION("GoogleFinance(A260, ""beta"")"),0.98)</f>
        <v>0.98</v>
      </c>
      <c r="G260" s="13">
        <f ca="1">IFERROR(__xludf.DUMMYFUNCTION("GOOGLEFINANCE(A260,""shares"")"),324381000)</f>
        <v>324381000</v>
      </c>
      <c r="H260" s="10">
        <f ca="1">IFERROR(__xludf.DUMMYFUNCTION("GOOGLEFINANCE(A260,""marketcap"")"),12021575129)</f>
        <v>12021575129</v>
      </c>
      <c r="I260" s="13">
        <f ca="1">IFERROR(__xludf.DUMMYFUNCTION("GOOGLEFINANCE(A260,""volume"")"),3922621)</f>
        <v>3922621</v>
      </c>
      <c r="J260" s="13">
        <f ca="1">IFERROR(__xludf.DUMMYFUNCTION("GOOGLEFINANCE(A260,""volumeavg"")"),3633918)</f>
        <v>3633918</v>
      </c>
      <c r="K260" s="15">
        <f ca="1">IFERROR(__xludf.DUMMYFUNCTION("GOOGLEFINANCE(A260,""high52"")"),38.04)</f>
        <v>38.04</v>
      </c>
      <c r="L260" s="15">
        <f ca="1">IFERROR(__xludf.DUMMYFUNCTION("GOOGLEFINANCE(A260,""low52"")"),24.87)</f>
        <v>24.87</v>
      </c>
      <c r="M260" s="7">
        <f t="shared" ca="1" si="0"/>
        <v>45379.717931597224</v>
      </c>
    </row>
    <row r="261" spans="1:13">
      <c r="A261" s="4" t="s">
        <v>272</v>
      </c>
      <c r="B261" s="5" t="str">
        <f ca="1">IFERROR(__xludf.DUMMYFUNCTION("GoogleFinance(A261, ""name"")"),"JPMorgan Chase &amp; Co")</f>
        <v>JPMorgan Chase &amp; Co</v>
      </c>
      <c r="C261" s="15">
        <f ca="1">IFERROR(__xludf.DUMMYFUNCTION("GoogleFinance(A261, ""price"")"),200.3)</f>
        <v>200.3</v>
      </c>
      <c r="D261" s="6">
        <f ca="1">IFERROR(__xludf.DUMMYFUNCTION("GoogleFinance(A261, ""eps"")"),16.23)</f>
        <v>16.23</v>
      </c>
      <c r="E261" s="6">
        <f ca="1">IFERROR(__xludf.DUMMYFUNCTION("GOOGLEFINANCE(A261,""pe"")"),12.34)</f>
        <v>12.34</v>
      </c>
      <c r="F261" s="6">
        <f ca="1">IFERROR(__xludf.DUMMYFUNCTION("GoogleFinance(A261, ""beta"")"),1.14)</f>
        <v>1.1399999999999999</v>
      </c>
      <c r="G261" s="13">
        <f ca="1">IFERROR(__xludf.DUMMYFUNCTION("GOOGLEFINANCE(A261,""shares"")"),2880371000)</f>
        <v>2880371000</v>
      </c>
      <c r="H261" s="10">
        <f ca="1">IFERROR(__xludf.DUMMYFUNCTION("GOOGLEFINANCE(A261,""marketcap"")"),576988395090)</f>
        <v>576988395090</v>
      </c>
      <c r="I261" s="13">
        <f ca="1">IFERROR(__xludf.DUMMYFUNCTION("GOOGLEFINANCE(A261,""volume"")"),8628056)</f>
        <v>8628056</v>
      </c>
      <c r="J261" s="13">
        <f ca="1">IFERROR(__xludf.DUMMYFUNCTION("GOOGLEFINANCE(A261,""volumeavg"")"),7819003)</f>
        <v>7819003</v>
      </c>
      <c r="K261" s="15">
        <f ca="1">IFERROR(__xludf.DUMMYFUNCTION("GOOGLEFINANCE(A261,""high52"")"),200.72)</f>
        <v>200.72</v>
      </c>
      <c r="L261" s="15">
        <f ca="1">IFERROR(__xludf.DUMMYFUNCTION("GOOGLEFINANCE(A261,""low52"")"),126.22)</f>
        <v>126.22</v>
      </c>
      <c r="M261" s="7">
        <f t="shared" ca="1" si="0"/>
        <v>45379.717931597224</v>
      </c>
    </row>
    <row r="262" spans="1:13">
      <c r="A262" s="4" t="s">
        <v>273</v>
      </c>
      <c r="B262" s="5" t="str">
        <f ca="1">IFERROR(__xludf.DUMMYFUNCTION("GoogleFinance(A262, ""name"")"),"Kellanova")</f>
        <v>Kellanova</v>
      </c>
      <c r="C262" s="15">
        <f ca="1">IFERROR(__xludf.DUMMYFUNCTION("GoogleFinance(A262, ""price"")"),57.29)</f>
        <v>57.29</v>
      </c>
      <c r="D262" s="6">
        <f ca="1">IFERROR(__xludf.DUMMYFUNCTION("GoogleFinance(A262, ""eps"")"),2.25)</f>
        <v>2.25</v>
      </c>
      <c r="E262" s="6">
        <f ca="1">IFERROR(__xludf.DUMMYFUNCTION("GOOGLEFINANCE(A262,""pe"")"),25.5)</f>
        <v>25.5</v>
      </c>
      <c r="F262" s="6">
        <f ca="1">IFERROR(__xludf.DUMMYFUNCTION("GoogleFinance(A262, ""beta"")"),0.4)</f>
        <v>0.4</v>
      </c>
      <c r="G262" s="13">
        <f ca="1">IFERROR(__xludf.DUMMYFUNCTION("GOOGLEFINANCE(A262,""shares"")"),341759000)</f>
        <v>341759000</v>
      </c>
      <c r="H262" s="10">
        <f ca="1">IFERROR(__xludf.DUMMYFUNCTION("GOOGLEFINANCE(A262,""marketcap"")"),19579384880)</f>
        <v>19579384880</v>
      </c>
      <c r="I262" s="13">
        <f ca="1">IFERROR(__xludf.DUMMYFUNCTION("GOOGLEFINANCE(A262,""volume"")"),2949747)</f>
        <v>2949747</v>
      </c>
      <c r="J262" s="13">
        <f ca="1">IFERROR(__xludf.DUMMYFUNCTION("GOOGLEFINANCE(A262,""volumeavg"")"),3613568)</f>
        <v>3613568</v>
      </c>
      <c r="K262" s="15">
        <f ca="1">IFERROR(__xludf.DUMMYFUNCTION("GOOGLEFINANCE(A262,""high52"")"),67.84)</f>
        <v>67.84</v>
      </c>
      <c r="L262" s="15">
        <f ca="1">IFERROR(__xludf.DUMMYFUNCTION("GOOGLEFINANCE(A262,""low52"")"),47.63)</f>
        <v>47.63</v>
      </c>
      <c r="M262" s="7">
        <f t="shared" ca="1" si="0"/>
        <v>45379.717931597224</v>
      </c>
    </row>
    <row r="263" spans="1:13">
      <c r="A263" s="4" t="s">
        <v>274</v>
      </c>
      <c r="B263" s="5" t="str">
        <f ca="1">IFERROR(__xludf.DUMMYFUNCTION("GoogleFinance(A263, ""name"")"),"Keurig Dr Pepper Inc")</f>
        <v>Keurig Dr Pepper Inc</v>
      </c>
      <c r="C263" s="15">
        <f ca="1">IFERROR(__xludf.DUMMYFUNCTION("GoogleFinance(A263, ""price"")"),30.67)</f>
        <v>30.67</v>
      </c>
      <c r="D263" s="6">
        <f ca="1">IFERROR(__xludf.DUMMYFUNCTION("GoogleFinance(A263, ""eps"")"),1.55)</f>
        <v>1.55</v>
      </c>
      <c r="E263" s="6">
        <f ca="1">IFERROR(__xludf.DUMMYFUNCTION("GOOGLEFINANCE(A263,""pe"")"),19.81)</f>
        <v>19.809999999999999</v>
      </c>
      <c r="F263" s="6">
        <f ca="1">IFERROR(__xludf.DUMMYFUNCTION("GoogleFinance(A263, ""beta"")"),0.66)</f>
        <v>0.66</v>
      </c>
      <c r="G263" s="13">
        <f ca="1">IFERROR(__xludf.DUMMYFUNCTION("GOOGLEFINANCE(A263,""shares"")"),1387591000)</f>
        <v>1387591000</v>
      </c>
      <c r="H263" s="10">
        <f ca="1">IFERROR(__xludf.DUMMYFUNCTION("GOOGLEFINANCE(A263,""marketcap"")"),42557416075)</f>
        <v>42557416075</v>
      </c>
      <c r="I263" s="13">
        <f ca="1">IFERROR(__xludf.DUMMYFUNCTION("GOOGLEFINANCE(A263,""volume"")"),7269484)</f>
        <v>7269484</v>
      </c>
      <c r="J263" s="13">
        <f ca="1">IFERROR(__xludf.DUMMYFUNCTION("GOOGLEFINANCE(A263,""volumeavg"")"),14556256)</f>
        <v>14556256</v>
      </c>
      <c r="K263" s="15">
        <f ca="1">IFERROR(__xludf.DUMMYFUNCTION("GOOGLEFINANCE(A263,""high52"")"),35.99)</f>
        <v>35.99</v>
      </c>
      <c r="L263" s="15">
        <f ca="1">IFERROR(__xludf.DUMMYFUNCTION("GOOGLEFINANCE(A263,""low52"")"),27.66)</f>
        <v>27.66</v>
      </c>
      <c r="M263" s="7">
        <f t="shared" ca="1" si="0"/>
        <v>45379.717931597224</v>
      </c>
    </row>
    <row r="264" spans="1:13">
      <c r="A264" s="4" t="s">
        <v>275</v>
      </c>
      <c r="B264" s="5" t="str">
        <f ca="1">IFERROR(__xludf.DUMMYFUNCTION("GoogleFinance(A264, ""name"")"),"KeyCorp")</f>
        <v>KeyCorp</v>
      </c>
      <c r="C264" s="15">
        <f ca="1">IFERROR(__xludf.DUMMYFUNCTION("GoogleFinance(A264, ""price"")"),15.81)</f>
        <v>15.81</v>
      </c>
      <c r="D264" s="6">
        <f ca="1">IFERROR(__xludf.DUMMYFUNCTION("GoogleFinance(A264, ""eps"")"),0.88)</f>
        <v>0.88</v>
      </c>
      <c r="E264" s="6">
        <f ca="1">IFERROR(__xludf.DUMMYFUNCTION("GOOGLEFINANCE(A264,""pe"")"),17.96)</f>
        <v>17.96</v>
      </c>
      <c r="F264" s="6">
        <f ca="1">IFERROR(__xludf.DUMMYFUNCTION("GoogleFinance(A264, ""beta"")"),1.27)</f>
        <v>1.27</v>
      </c>
      <c r="G264" s="13">
        <f ca="1">IFERROR(__xludf.DUMMYFUNCTION("GOOGLEFINANCE(A264,""shares"")"),933842000)</f>
        <v>933842000</v>
      </c>
      <c r="H264" s="10">
        <f ca="1">IFERROR(__xludf.DUMMYFUNCTION("GOOGLEFINANCE(A264,""marketcap"")"),14663340614)</f>
        <v>14663340614</v>
      </c>
      <c r="I264" s="13">
        <f ca="1">IFERROR(__xludf.DUMMYFUNCTION("GOOGLEFINANCE(A264,""volume"")"),10560981)</f>
        <v>10560981</v>
      </c>
      <c r="J264" s="13">
        <f ca="1">IFERROR(__xludf.DUMMYFUNCTION("GOOGLEFINANCE(A264,""volumeavg"")"),14076158)</f>
        <v>14076158</v>
      </c>
      <c r="K264" s="15">
        <f ca="1">IFERROR(__xludf.DUMMYFUNCTION("GOOGLEFINANCE(A264,""high52"")"),15.86)</f>
        <v>15.86</v>
      </c>
      <c r="L264" s="15">
        <f ca="1">IFERROR(__xludf.DUMMYFUNCTION("GOOGLEFINANCE(A264,""low52"")"),8.54)</f>
        <v>8.5399999999999991</v>
      </c>
      <c r="M264" s="7">
        <f t="shared" ca="1" si="0"/>
        <v>45379.717931597224</v>
      </c>
    </row>
    <row r="265" spans="1:13">
      <c r="A265" s="4" t="s">
        <v>276</v>
      </c>
      <c r="B265" s="5" t="str">
        <f ca="1">IFERROR(__xludf.DUMMYFUNCTION("GoogleFinance(A265, ""name"")"),"Keysight Technologies Inc")</f>
        <v>Keysight Technologies Inc</v>
      </c>
      <c r="C265" s="15">
        <f ca="1">IFERROR(__xludf.DUMMYFUNCTION("GoogleFinance(A265, ""price"")"),156.38)</f>
        <v>156.38</v>
      </c>
      <c r="D265" s="6">
        <f ca="1">IFERROR(__xludf.DUMMYFUNCTION("GoogleFinance(A265, ""eps"")"),5.43)</f>
        <v>5.43</v>
      </c>
      <c r="E265" s="6">
        <f ca="1">IFERROR(__xludf.DUMMYFUNCTION("GOOGLEFINANCE(A265,""pe"")"),28.8)</f>
        <v>28.8</v>
      </c>
      <c r="F265" s="6">
        <f ca="1">IFERROR(__xludf.DUMMYFUNCTION("GoogleFinance(A265, ""beta"")"),1.05)</f>
        <v>1.05</v>
      </c>
      <c r="G265" s="13">
        <f ca="1">IFERROR(__xludf.DUMMYFUNCTION("GOOGLEFINANCE(A265,""shares"")"),174556000)</f>
        <v>174556000</v>
      </c>
      <c r="H265" s="10">
        <f ca="1">IFERROR(__xludf.DUMMYFUNCTION("GOOGLEFINANCE(A265,""marketcap"")"),27297036856)</f>
        <v>27297036856</v>
      </c>
      <c r="I265" s="13">
        <f ca="1">IFERROR(__xludf.DUMMYFUNCTION("GOOGLEFINANCE(A265,""volume"")"),1322553)</f>
        <v>1322553</v>
      </c>
      <c r="J265" s="13">
        <f ca="1">IFERROR(__xludf.DUMMYFUNCTION("GOOGLEFINANCE(A265,""volumeavg"")"),1459768)</f>
        <v>1459768</v>
      </c>
      <c r="K265" s="15">
        <f ca="1">IFERROR(__xludf.DUMMYFUNCTION("GOOGLEFINANCE(A265,""high52"")"),172.72)</f>
        <v>172.72</v>
      </c>
      <c r="L265" s="15">
        <f ca="1">IFERROR(__xludf.DUMMYFUNCTION("GOOGLEFINANCE(A265,""low52"")"),118.57)</f>
        <v>118.57</v>
      </c>
      <c r="M265" s="7">
        <f t="shared" ca="1" si="0"/>
        <v>45379.717931597224</v>
      </c>
    </row>
    <row r="266" spans="1:13">
      <c r="A266" s="4" t="s">
        <v>277</v>
      </c>
      <c r="B266" s="5" t="str">
        <f ca="1">IFERROR(__xludf.DUMMYFUNCTION("GoogleFinance(A266, ""name"")"),"Kraft Heinz Co")</f>
        <v>Kraft Heinz Co</v>
      </c>
      <c r="C266" s="15">
        <f ca="1">IFERROR(__xludf.DUMMYFUNCTION("GoogleFinance(A266, ""price"")"),36.9)</f>
        <v>36.9</v>
      </c>
      <c r="D266" s="6">
        <f ca="1">IFERROR(__xludf.DUMMYFUNCTION("GoogleFinance(A266, ""eps"")"),2.31)</f>
        <v>2.31</v>
      </c>
      <c r="E266" s="6">
        <f ca="1">IFERROR(__xludf.DUMMYFUNCTION("GOOGLEFINANCE(A266,""pe"")"),15.96)</f>
        <v>15.96</v>
      </c>
      <c r="F266" s="6">
        <f ca="1">IFERROR(__xludf.DUMMYFUNCTION("GoogleFinance(A266, ""beta"")"),0.67)</f>
        <v>0.67</v>
      </c>
      <c r="G266" s="13">
        <f ca="1">IFERROR(__xludf.DUMMYFUNCTION("GOOGLEFINANCE(A266,""shares"")"),1213100000)</f>
        <v>1213100000</v>
      </c>
      <c r="H266" s="10">
        <f ca="1">IFERROR(__xludf.DUMMYFUNCTION("GOOGLEFINANCE(A266,""marketcap"")"),44857044054)</f>
        <v>44857044054</v>
      </c>
      <c r="I266" s="13">
        <f ca="1">IFERROR(__xludf.DUMMYFUNCTION("GOOGLEFINANCE(A266,""volume"")"),7159125)</f>
        <v>7159125</v>
      </c>
      <c r="J266" s="13">
        <f ca="1">IFERROR(__xludf.DUMMYFUNCTION("GOOGLEFINANCE(A266,""volumeavg"")"),8229736)</f>
        <v>8229736</v>
      </c>
      <c r="K266" s="15">
        <f ca="1">IFERROR(__xludf.DUMMYFUNCTION("GOOGLEFINANCE(A266,""high52"")"),41.47)</f>
        <v>41.47</v>
      </c>
      <c r="L266" s="15">
        <f ca="1">IFERROR(__xludf.DUMMYFUNCTION("GOOGLEFINANCE(A266,""low52"")"),30.68)</f>
        <v>30.68</v>
      </c>
      <c r="M266" s="7">
        <f t="shared" ca="1" si="0"/>
        <v>45379.717931597224</v>
      </c>
    </row>
    <row r="267" spans="1:13">
      <c r="A267" s="4" t="s">
        <v>278</v>
      </c>
      <c r="B267" s="5" t="str">
        <f ca="1">IFERROR(__xludf.DUMMYFUNCTION("GoogleFinance(A267, ""name"")"),"Kimco Realty Corp")</f>
        <v>Kimco Realty Corp</v>
      </c>
      <c r="C267" s="15">
        <f ca="1">IFERROR(__xludf.DUMMYFUNCTION("GoogleFinance(A267, ""price"")"),19.61)</f>
        <v>19.61</v>
      </c>
      <c r="D267" s="6">
        <f ca="1">IFERROR(__xludf.DUMMYFUNCTION("GoogleFinance(A267, ""eps"")"),1.02)</f>
        <v>1.02</v>
      </c>
      <c r="E267" s="6">
        <f ca="1">IFERROR(__xludf.DUMMYFUNCTION("GOOGLEFINANCE(A267,""pe"")"),19.28)</f>
        <v>19.28</v>
      </c>
      <c r="F267" s="6">
        <f ca="1">IFERROR(__xludf.DUMMYFUNCTION("GoogleFinance(A267, ""beta"")"),1.48)</f>
        <v>1.48</v>
      </c>
      <c r="G267" s="13">
        <f ca="1">IFERROR(__xludf.DUMMYFUNCTION("GOOGLEFINANCE(A267,""shares"")"),674136000)</f>
        <v>674136000</v>
      </c>
      <c r="H267" s="10">
        <f ca="1">IFERROR(__xludf.DUMMYFUNCTION("GOOGLEFINANCE(A267,""marketcap"")"),13219742658)</f>
        <v>13219742658</v>
      </c>
      <c r="I267" s="13">
        <f ca="1">IFERROR(__xludf.DUMMYFUNCTION("GOOGLEFINANCE(A267,""volume"")"),7608634)</f>
        <v>7608634</v>
      </c>
      <c r="J267" s="13">
        <f ca="1">IFERROR(__xludf.DUMMYFUNCTION("GOOGLEFINANCE(A267,""volumeavg"")"),4928031)</f>
        <v>4928031</v>
      </c>
      <c r="K267" s="15">
        <f ca="1">IFERROR(__xludf.DUMMYFUNCTION("GOOGLEFINANCE(A267,""high52"")"),22.84)</f>
        <v>22.84</v>
      </c>
      <c r="L267" s="15">
        <f ca="1">IFERROR(__xludf.DUMMYFUNCTION("GOOGLEFINANCE(A267,""low52"")"),16.34)</f>
        <v>16.34</v>
      </c>
      <c r="M267" s="7">
        <f t="shared" ca="1" si="0"/>
        <v>45379.717931597224</v>
      </c>
    </row>
    <row r="268" spans="1:13">
      <c r="A268" s="4" t="s">
        <v>279</v>
      </c>
      <c r="B268" s="5" t="str">
        <f ca="1">IFERROR(__xludf.DUMMYFUNCTION("GoogleFinance(A268, ""name"")"),"KLA Corp")</f>
        <v>KLA Corp</v>
      </c>
      <c r="C268" s="15">
        <f ca="1">IFERROR(__xludf.DUMMYFUNCTION("GoogleFinance(A268, ""price"")"),698.57)</f>
        <v>698.57</v>
      </c>
      <c r="D268" s="6">
        <f ca="1">IFERROR(__xludf.DUMMYFUNCTION("GoogleFinance(A268, ""eps"")"),19.69)</f>
        <v>19.690000000000001</v>
      </c>
      <c r="E268" s="6">
        <f ca="1">IFERROR(__xludf.DUMMYFUNCTION("GOOGLEFINANCE(A268,""pe"")"),35.48)</f>
        <v>35.479999999999997</v>
      </c>
      <c r="F268" s="6">
        <f ca="1">IFERROR(__xludf.DUMMYFUNCTION("GoogleFinance(A268, ""beta"")"),1.34)</f>
        <v>1.34</v>
      </c>
      <c r="G268" s="13">
        <f ca="1">IFERROR(__xludf.DUMMYFUNCTION("GOOGLEFINANCE(A268,""shares"")"),135234000)</f>
        <v>135234000</v>
      </c>
      <c r="H268" s="10">
        <f ca="1">IFERROR(__xludf.DUMMYFUNCTION("GOOGLEFINANCE(A268,""marketcap"")"),94470136942)</f>
        <v>94470136942</v>
      </c>
      <c r="I268" s="13">
        <f ca="1">IFERROR(__xludf.DUMMYFUNCTION("GOOGLEFINANCE(A268,""volume"")"),1080942)</f>
        <v>1080942</v>
      </c>
      <c r="J268" s="13">
        <f ca="1">IFERROR(__xludf.DUMMYFUNCTION("GOOGLEFINANCE(A268,""volumeavg"")"),922674)</f>
        <v>922674</v>
      </c>
      <c r="K268" s="15">
        <f ca="1">IFERROR(__xludf.DUMMYFUNCTION("GOOGLEFINANCE(A268,""high52"")"),729.15)</f>
        <v>729.15</v>
      </c>
      <c r="L268" s="15">
        <f ca="1">IFERROR(__xludf.DUMMYFUNCTION("GOOGLEFINANCE(A268,""low52"")"),355.88)</f>
        <v>355.88</v>
      </c>
      <c r="M268" s="7">
        <f t="shared" ca="1" si="0"/>
        <v>45379.717931597224</v>
      </c>
    </row>
    <row r="269" spans="1:13">
      <c r="A269" s="4" t="s">
        <v>280</v>
      </c>
      <c r="B269" s="5" t="str">
        <f ca="1">IFERROR(__xludf.DUMMYFUNCTION("GoogleFinance(A269, ""name"")"),"Kimberly-Clark Corp")</f>
        <v>Kimberly-Clark Corp</v>
      </c>
      <c r="C269" s="15">
        <f ca="1">IFERROR(__xludf.DUMMYFUNCTION("GoogleFinance(A269, ""price"")"),129.35)</f>
        <v>129.35</v>
      </c>
      <c r="D269" s="6">
        <f ca="1">IFERROR(__xludf.DUMMYFUNCTION("GoogleFinance(A269, ""eps"")"),5.21)</f>
        <v>5.21</v>
      </c>
      <c r="E269" s="6">
        <f ca="1">IFERROR(__xludf.DUMMYFUNCTION("GOOGLEFINANCE(A269,""pe"")"),24.84)</f>
        <v>24.84</v>
      </c>
      <c r="F269" s="6">
        <f ca="1">IFERROR(__xludf.DUMMYFUNCTION("GoogleFinance(A269, ""beta"")"),0.4)</f>
        <v>0.4</v>
      </c>
      <c r="G269" s="13">
        <f ca="1">IFERROR(__xludf.DUMMYFUNCTION("GOOGLEFINANCE(A269,""shares"")"),336914000)</f>
        <v>336914000</v>
      </c>
      <c r="H269" s="10">
        <f ca="1">IFERROR(__xludf.DUMMYFUNCTION("GOOGLEFINANCE(A269,""marketcap"")"),43579866761)</f>
        <v>43579866761</v>
      </c>
      <c r="I269" s="13">
        <f ca="1">IFERROR(__xludf.DUMMYFUNCTION("GOOGLEFINANCE(A269,""volume"")"),3204119)</f>
        <v>3204119</v>
      </c>
      <c r="J269" s="13">
        <f ca="1">IFERROR(__xludf.DUMMYFUNCTION("GOOGLEFINANCE(A269,""volumeavg"")"),2025593)</f>
        <v>2025593</v>
      </c>
      <c r="K269" s="15">
        <f ca="1">IFERROR(__xludf.DUMMYFUNCTION("GOOGLEFINANCE(A269,""high52"")"),147.87)</f>
        <v>147.87</v>
      </c>
      <c r="L269" s="15">
        <f ca="1">IFERROR(__xludf.DUMMYFUNCTION("GOOGLEFINANCE(A269,""low52"")"),116.32)</f>
        <v>116.32</v>
      </c>
      <c r="M269" s="7">
        <f t="shared" ca="1" si="0"/>
        <v>45379.717931597224</v>
      </c>
    </row>
    <row r="270" spans="1:13">
      <c r="A270" s="4" t="s">
        <v>281</v>
      </c>
      <c r="B270" s="5" t="str">
        <f ca="1">IFERROR(__xludf.DUMMYFUNCTION("GoogleFinance(A270, ""name"")"),"Kinder Morgan Inc")</f>
        <v>Kinder Morgan Inc</v>
      </c>
      <c r="C270" s="15">
        <f ca="1">IFERROR(__xludf.DUMMYFUNCTION("GoogleFinance(A270, ""price"")"),18.34)</f>
        <v>18.34</v>
      </c>
      <c r="D270" s="6">
        <f ca="1">IFERROR(__xludf.DUMMYFUNCTION("GoogleFinance(A270, ""eps"")"),1.06)</f>
        <v>1.06</v>
      </c>
      <c r="E270" s="6">
        <f ca="1">IFERROR(__xludf.DUMMYFUNCTION("GOOGLEFINANCE(A270,""pe"")"),17.24)</f>
        <v>17.239999999999998</v>
      </c>
      <c r="F270" s="6">
        <f ca="1">IFERROR(__xludf.DUMMYFUNCTION("GoogleFinance(A270, ""beta"")"),0.9)</f>
        <v>0.9</v>
      </c>
      <c r="G270" s="13">
        <f ca="1">IFERROR(__xludf.DUMMYFUNCTION("GOOGLEFINANCE(A270,""shares"")"),2219370000)</f>
        <v>2219370000</v>
      </c>
      <c r="H270" s="10">
        <f ca="1">IFERROR(__xludf.DUMMYFUNCTION("GOOGLEFINANCE(A270,""marketcap"")"),40703246138)</f>
        <v>40703246138</v>
      </c>
      <c r="I270" s="13">
        <f ca="1">IFERROR(__xludf.DUMMYFUNCTION("GOOGLEFINANCE(A270,""volume"")"),15939374)</f>
        <v>15939374</v>
      </c>
      <c r="J270" s="13">
        <f ca="1">IFERROR(__xludf.DUMMYFUNCTION("GOOGLEFINANCE(A270,""volumeavg"")"),13179070)</f>
        <v>13179070</v>
      </c>
      <c r="K270" s="15">
        <f ca="1">IFERROR(__xludf.DUMMYFUNCTION("GOOGLEFINANCE(A270,""high52"")"),18.43)</f>
        <v>18.43</v>
      </c>
      <c r="L270" s="15">
        <f ca="1">IFERROR(__xludf.DUMMYFUNCTION("GOOGLEFINANCE(A270,""low52"")"),15.89)</f>
        <v>15.89</v>
      </c>
      <c r="M270" s="7">
        <f t="shared" ca="1" si="0"/>
        <v>45379.717931597224</v>
      </c>
    </row>
    <row r="271" spans="1:13">
      <c r="A271" s="4" t="s">
        <v>282</v>
      </c>
      <c r="B271" s="5" t="str">
        <f ca="1">IFERROR(__xludf.DUMMYFUNCTION("GoogleFinance(A271, ""name"")"),"Carmax Inc")</f>
        <v>Carmax Inc</v>
      </c>
      <c r="C271" s="15">
        <f ca="1">IFERROR(__xludf.DUMMYFUNCTION("GoogleFinance(A271, ""price"")"),87.11)</f>
        <v>87.11</v>
      </c>
      <c r="D271" s="6">
        <f ca="1">IFERROR(__xludf.DUMMYFUNCTION("GoogleFinance(A271, ""eps"")"),3.14)</f>
        <v>3.14</v>
      </c>
      <c r="E271" s="6">
        <f ca="1">IFERROR(__xludf.DUMMYFUNCTION("GOOGLEFINANCE(A271,""pe"")"),27.77)</f>
        <v>27.77</v>
      </c>
      <c r="F271" s="6">
        <f ca="1">IFERROR(__xludf.DUMMYFUNCTION("GoogleFinance(A271, ""beta"")"),1.61)</f>
        <v>1.61</v>
      </c>
      <c r="G271" s="13">
        <f ca="1">IFERROR(__xludf.DUMMYFUNCTION("GOOGLEFINANCE(A271,""shares"")"),157921000)</f>
        <v>157921000</v>
      </c>
      <c r="H271" s="10">
        <f ca="1">IFERROR(__xludf.DUMMYFUNCTION("GOOGLEFINANCE(A271,""marketcap"")"),13756515828)</f>
        <v>13756515828</v>
      </c>
      <c r="I271" s="13">
        <f ca="1">IFERROR(__xludf.DUMMYFUNCTION("GOOGLEFINANCE(A271,""volume"")"),1937866)</f>
        <v>1937866</v>
      </c>
      <c r="J271" s="13">
        <f ca="1">IFERROR(__xludf.DUMMYFUNCTION("GOOGLEFINANCE(A271,""volumeavg"")"),1393380)</f>
        <v>1393380</v>
      </c>
      <c r="K271" s="15">
        <f ca="1">IFERROR(__xludf.DUMMYFUNCTION("GOOGLEFINANCE(A271,""high52"")"),88.22)</f>
        <v>88.22</v>
      </c>
      <c r="L271" s="15">
        <f ca="1">IFERROR(__xludf.DUMMYFUNCTION("GOOGLEFINANCE(A271,""low52"")"),58.22)</f>
        <v>58.22</v>
      </c>
      <c r="M271" s="7">
        <f t="shared" ca="1" si="0"/>
        <v>45379.717931597224</v>
      </c>
    </row>
    <row r="272" spans="1:13">
      <c r="A272" s="4" t="s">
        <v>283</v>
      </c>
      <c r="B272" s="5" t="str">
        <f ca="1">IFERROR(__xludf.DUMMYFUNCTION("GoogleFinance(A272, ""name"")"),"Coca-Cola Co")</f>
        <v>Coca-Cola Co</v>
      </c>
      <c r="C272" s="15">
        <f ca="1">IFERROR(__xludf.DUMMYFUNCTION("GoogleFinance(A272, ""price"")"),61.18)</f>
        <v>61.18</v>
      </c>
      <c r="D272" s="6">
        <f ca="1">IFERROR(__xludf.DUMMYFUNCTION("GoogleFinance(A272, ""eps"")"),2.47)</f>
        <v>2.4700000000000002</v>
      </c>
      <c r="E272" s="6">
        <f ca="1">IFERROR(__xludf.DUMMYFUNCTION("GOOGLEFINANCE(A272,""pe"")"),24.78)</f>
        <v>24.78</v>
      </c>
      <c r="F272" s="6">
        <f ca="1">IFERROR(__xludf.DUMMYFUNCTION("GoogleFinance(A272, ""beta"")"),0.59)</f>
        <v>0.59</v>
      </c>
      <c r="G272" s="13">
        <f ca="1">IFERROR(__xludf.DUMMYFUNCTION("GOOGLEFINANCE(A272,""shares"")"),4312456000)</f>
        <v>4312456000</v>
      </c>
      <c r="H272" s="10">
        <f ca="1">IFERROR(__xludf.DUMMYFUNCTION("GOOGLEFINANCE(A272,""marketcap"")"),263758666695)</f>
        <v>263758666695</v>
      </c>
      <c r="I272" s="13">
        <f ca="1">IFERROR(__xludf.DUMMYFUNCTION("GOOGLEFINANCE(A272,""volume"")"),13683314)</f>
        <v>13683314</v>
      </c>
      <c r="J272" s="13">
        <f ca="1">IFERROR(__xludf.DUMMYFUNCTION("GOOGLEFINANCE(A272,""volumeavg"")"),13690347)</f>
        <v>13690347</v>
      </c>
      <c r="K272" s="15">
        <f ca="1">IFERROR(__xludf.DUMMYFUNCTION("GOOGLEFINANCE(A272,""high52"")"),64.99)</f>
        <v>64.989999999999995</v>
      </c>
      <c r="L272" s="15">
        <f ca="1">IFERROR(__xludf.DUMMYFUNCTION("GOOGLEFINANCE(A272,""low52"")"),51.55)</f>
        <v>51.55</v>
      </c>
      <c r="M272" s="7">
        <f t="shared" ca="1" si="0"/>
        <v>45379.717931597224</v>
      </c>
    </row>
    <row r="273" spans="1:13">
      <c r="A273" s="4" t="s">
        <v>284</v>
      </c>
      <c r="B273" s="5" t="str">
        <f ca="1">IFERROR(__xludf.DUMMYFUNCTION("GoogleFinance(A273, ""name"")"),"Kroger Co")</f>
        <v>Kroger Co</v>
      </c>
      <c r="C273" s="15">
        <f ca="1">IFERROR(__xludf.DUMMYFUNCTION("GoogleFinance(A273, ""price"")"),57.13)</f>
        <v>57.13</v>
      </c>
      <c r="D273" s="6" t="str">
        <f ca="1">IFERROR(__xludf.DUMMYFUNCTION("GoogleFinance(A273, ""eps"")"),"#N/A")</f>
        <v>#N/A</v>
      </c>
      <c r="E273" s="6" t="str">
        <f ca="1">IFERROR(__xludf.DUMMYFUNCTION("GOOGLEFINANCE(A273,""pe"")"),"#N/A")</f>
        <v>#N/A</v>
      </c>
      <c r="F273" s="6">
        <f ca="1">IFERROR(__xludf.DUMMYFUNCTION("GoogleFinance(A273, ""beta"")"),0.46)</f>
        <v>0.46</v>
      </c>
      <c r="G273" s="13">
        <f ca="1">IFERROR(__xludf.DUMMYFUNCTION("GOOGLEFINANCE(A273,""shares"")"),720000000)</f>
        <v>720000000</v>
      </c>
      <c r="H273" s="10">
        <f ca="1">IFERROR(__xludf.DUMMYFUNCTION("GOOGLEFINANCE(A273,""marketcap"")"),41133600769)</f>
        <v>41133600769</v>
      </c>
      <c r="I273" s="13">
        <f ca="1">IFERROR(__xludf.DUMMYFUNCTION("GOOGLEFINANCE(A273,""volume"")"),6458567)</f>
        <v>6458567</v>
      </c>
      <c r="J273" s="13">
        <f ca="1">IFERROR(__xludf.DUMMYFUNCTION("GOOGLEFINANCE(A273,""volumeavg"")"),5799887)</f>
        <v>5799887</v>
      </c>
      <c r="K273" s="15">
        <f ca="1">IFERROR(__xludf.DUMMYFUNCTION("GOOGLEFINANCE(A273,""high52"")"),57.36)</f>
        <v>57.36</v>
      </c>
      <c r="L273" s="15">
        <f ca="1">IFERROR(__xludf.DUMMYFUNCTION("GOOGLEFINANCE(A273,""low52"")"),42.1)</f>
        <v>42.1</v>
      </c>
      <c r="M273" s="7">
        <f t="shared" ca="1" si="0"/>
        <v>45379.717931597224</v>
      </c>
    </row>
    <row r="274" spans="1:13">
      <c r="A274" s="4" t="s">
        <v>285</v>
      </c>
      <c r="B274" s="5" t="str">
        <f ca="1">IFERROR(__xludf.DUMMYFUNCTION("GoogleFinance(A274, ""name"")"),"Kenvue Inc")</f>
        <v>Kenvue Inc</v>
      </c>
      <c r="C274" s="15">
        <f ca="1">IFERROR(__xludf.DUMMYFUNCTION("GoogleFinance(A274, ""price"")"),21.46)</f>
        <v>21.46</v>
      </c>
      <c r="D274" s="6">
        <f ca="1">IFERROR(__xludf.DUMMYFUNCTION("GoogleFinance(A274, ""eps"")"),0.9)</f>
        <v>0.9</v>
      </c>
      <c r="E274" s="6">
        <f ca="1">IFERROR(__xludf.DUMMYFUNCTION("GOOGLEFINANCE(A274,""pe"")"),23.86)</f>
        <v>23.86</v>
      </c>
      <c r="F274" s="6" t="str">
        <f ca="1">IFERROR(__xludf.DUMMYFUNCTION("GoogleFinance(A274, ""beta"")"),"#N/A")</f>
        <v>#N/A</v>
      </c>
      <c r="G274" s="13">
        <f ca="1">IFERROR(__xludf.DUMMYFUNCTION("GOOGLEFINANCE(A274,""shares"")"),1914582000)</f>
        <v>1914582000</v>
      </c>
      <c r="H274" s="10">
        <f ca="1">IFERROR(__xludf.DUMMYFUNCTION("GOOGLEFINANCE(A274,""marketcap"")"),41086906507)</f>
        <v>41086906507</v>
      </c>
      <c r="I274" s="13">
        <f ca="1">IFERROR(__xludf.DUMMYFUNCTION("GOOGLEFINANCE(A274,""volume"")"),14405440)</f>
        <v>14405440</v>
      </c>
      <c r="J274" s="13">
        <f ca="1">IFERROR(__xludf.DUMMYFUNCTION("GOOGLEFINANCE(A274,""volumeavg"")"),17285617)</f>
        <v>17285617</v>
      </c>
      <c r="K274" s="15">
        <f ca="1">IFERROR(__xludf.DUMMYFUNCTION("GOOGLEFINANCE(A274,""high52"")"),27.8)</f>
        <v>27.8</v>
      </c>
      <c r="L274" s="15">
        <f ca="1">IFERROR(__xludf.DUMMYFUNCTION("GOOGLEFINANCE(A274,""low52"")"),17.82)</f>
        <v>17.82</v>
      </c>
      <c r="M274" s="7">
        <f t="shared" ca="1" si="0"/>
        <v>45379.717931597224</v>
      </c>
    </row>
    <row r="275" spans="1:13">
      <c r="A275" s="4" t="s">
        <v>286</v>
      </c>
      <c r="B275" s="5" t="str">
        <f ca="1">IFERROR(__xludf.DUMMYFUNCTION("GoogleFinance(A275, ""name"")"),"Loews Corp")</f>
        <v>Loews Corp</v>
      </c>
      <c r="C275" s="15">
        <f ca="1">IFERROR(__xludf.DUMMYFUNCTION("GoogleFinance(A275, ""price"")"),78.29)</f>
        <v>78.290000000000006</v>
      </c>
      <c r="D275" s="6">
        <f ca="1">IFERROR(__xludf.DUMMYFUNCTION("GoogleFinance(A275, ""eps"")"),6.29)</f>
        <v>6.29</v>
      </c>
      <c r="E275" s="6">
        <f ca="1">IFERROR(__xludf.DUMMYFUNCTION("GOOGLEFINANCE(A275,""pe"")"),12.44)</f>
        <v>12.44</v>
      </c>
      <c r="F275" s="6">
        <f ca="1">IFERROR(__xludf.DUMMYFUNCTION("GoogleFinance(A275, ""beta"")"),0.82)</f>
        <v>0.82</v>
      </c>
      <c r="G275" s="13">
        <f ca="1">IFERROR(__xludf.DUMMYFUNCTION("GOOGLEFINANCE(A275,""shares"")"),222201000)</f>
        <v>222201000</v>
      </c>
      <c r="H275" s="10">
        <f ca="1">IFERROR(__xludf.DUMMYFUNCTION("GOOGLEFINANCE(A275,""marketcap"")"),17396124322)</f>
        <v>17396124322</v>
      </c>
      <c r="I275" s="13">
        <f ca="1">IFERROR(__xludf.DUMMYFUNCTION("GOOGLEFINANCE(A275,""volume"")"),747935)</f>
        <v>747935</v>
      </c>
      <c r="J275" s="13">
        <f ca="1">IFERROR(__xludf.DUMMYFUNCTION("GOOGLEFINANCE(A275,""volumeavg"")"),759289)</f>
        <v>759289</v>
      </c>
      <c r="K275" s="15">
        <f ca="1">IFERROR(__xludf.DUMMYFUNCTION("GOOGLEFINANCE(A275,""high52"")"),78.55)</f>
        <v>78.55</v>
      </c>
      <c r="L275" s="15">
        <f ca="1">IFERROR(__xludf.DUMMYFUNCTION("GOOGLEFINANCE(A275,""low52"")"),55.31)</f>
        <v>55.31</v>
      </c>
      <c r="M275" s="7">
        <f t="shared" ca="1" si="0"/>
        <v>45379.717931597224</v>
      </c>
    </row>
    <row r="276" spans="1:13">
      <c r="A276" s="4" t="s">
        <v>287</v>
      </c>
      <c r="B276" s="5" t="str">
        <f ca="1">IFERROR(__xludf.DUMMYFUNCTION("GoogleFinance(A276, ""name"")"),"Leidos Holdings Inc")</f>
        <v>Leidos Holdings Inc</v>
      </c>
      <c r="C276" s="15">
        <f ca="1">IFERROR(__xludf.DUMMYFUNCTION("GoogleFinance(A276, ""price"")"),131.09)</f>
        <v>131.09</v>
      </c>
      <c r="D276" s="6">
        <f ca="1">IFERROR(__xludf.DUMMYFUNCTION("GoogleFinance(A276, ""eps"")"),1.44)</f>
        <v>1.44</v>
      </c>
      <c r="E276" s="6">
        <f ca="1">IFERROR(__xludf.DUMMYFUNCTION("GOOGLEFINANCE(A276,""pe"")"),90.91)</f>
        <v>90.91</v>
      </c>
      <c r="F276" s="6">
        <f ca="1">IFERROR(__xludf.DUMMYFUNCTION("GoogleFinance(A276, ""beta"")"),0.7)</f>
        <v>0.7</v>
      </c>
      <c r="G276" s="13">
        <f ca="1">IFERROR(__xludf.DUMMYFUNCTION("GOOGLEFINANCE(A276,""shares"")"),135779000)</f>
        <v>135779000</v>
      </c>
      <c r="H276" s="10">
        <f ca="1">IFERROR(__xludf.DUMMYFUNCTION("GOOGLEFINANCE(A276,""marketcap"")"),17700544736)</f>
        <v>17700544736</v>
      </c>
      <c r="I276" s="13">
        <f ca="1">IFERROR(__xludf.DUMMYFUNCTION("GOOGLEFINANCE(A276,""volume"")"),682792)</f>
        <v>682792</v>
      </c>
      <c r="J276" s="13">
        <f ca="1">IFERROR(__xludf.DUMMYFUNCTION("GOOGLEFINANCE(A276,""volumeavg"")"),914587)</f>
        <v>914587</v>
      </c>
      <c r="K276" s="15">
        <f ca="1">IFERROR(__xludf.DUMMYFUNCTION("GOOGLEFINANCE(A276,""high52"")"),131.5)</f>
        <v>131.5</v>
      </c>
      <c r="L276" s="15">
        <f ca="1">IFERROR(__xludf.DUMMYFUNCTION("GOOGLEFINANCE(A276,""low52"")"),76.58)</f>
        <v>76.58</v>
      </c>
      <c r="M276" s="7">
        <f t="shared" ca="1" si="0"/>
        <v>45379.717931597224</v>
      </c>
    </row>
    <row r="277" spans="1:13">
      <c r="A277" s="4" t="s">
        <v>288</v>
      </c>
      <c r="B277" s="5" t="str">
        <f ca="1">IFERROR(__xludf.DUMMYFUNCTION("GoogleFinance(A277, ""name"")"),"Lennar Corp")</f>
        <v>Lennar Corp</v>
      </c>
      <c r="C277" s="15">
        <f ca="1">IFERROR(__xludf.DUMMYFUNCTION("GoogleFinance(A277, ""price"")"),171.98)</f>
        <v>171.98</v>
      </c>
      <c r="D277" s="6" t="str">
        <f ca="1">IFERROR(__xludf.DUMMYFUNCTION("GoogleFinance(A277, ""eps"")"),"#N/A")</f>
        <v>#N/A</v>
      </c>
      <c r="E277" s="6" t="str">
        <f ca="1">IFERROR(__xludf.DUMMYFUNCTION("GOOGLEFINANCE(A277,""pe"")"),"#N/A")</f>
        <v>#N/A</v>
      </c>
      <c r="F277" s="6">
        <f ca="1">IFERROR(__xludf.DUMMYFUNCTION("GoogleFinance(A277, ""beta"")"),1.52)</f>
        <v>1.52</v>
      </c>
      <c r="G277" s="13">
        <f ca="1">IFERROR(__xludf.DUMMYFUNCTION("GOOGLEFINANCE(A277,""shares"")"),245569000)</f>
        <v>245569000</v>
      </c>
      <c r="H277" s="10">
        <f ca="1">IFERROR(__xludf.DUMMYFUNCTION("GOOGLEFINANCE(A277,""marketcap"")"),47384633540)</f>
        <v>47384633540</v>
      </c>
      <c r="I277" s="13">
        <f ca="1">IFERROR(__xludf.DUMMYFUNCTION("GOOGLEFINANCE(A277,""volume"")"),2132742)</f>
        <v>2132742</v>
      </c>
      <c r="J277" s="13">
        <f ca="1">IFERROR(__xludf.DUMMYFUNCTION("GOOGLEFINANCE(A277,""volumeavg"")"),1990601)</f>
        <v>1990601</v>
      </c>
      <c r="K277" s="15">
        <f ca="1">IFERROR(__xludf.DUMMYFUNCTION("GOOGLEFINANCE(A277,""high52"")"),172.59)</f>
        <v>172.59</v>
      </c>
      <c r="L277" s="15">
        <f ca="1">IFERROR(__xludf.DUMMYFUNCTION("GOOGLEFINANCE(A277,""low52"")"),100.95)</f>
        <v>100.95</v>
      </c>
      <c r="M277" s="7">
        <f t="shared" ca="1" si="0"/>
        <v>45379.717931597224</v>
      </c>
    </row>
    <row r="278" spans="1:13">
      <c r="A278" s="4" t="s">
        <v>289</v>
      </c>
      <c r="B278" s="5" t="str">
        <f ca="1">IFERROR(__xludf.DUMMYFUNCTION("GoogleFinance(A278, ""name"")"),"Laboratory Corporation of Amerc Holdings")</f>
        <v>Laboratory Corporation of Amerc Holdings</v>
      </c>
      <c r="C278" s="15">
        <f ca="1">IFERROR(__xludf.DUMMYFUNCTION("GoogleFinance(A278, ""price"")"),218.46)</f>
        <v>218.46</v>
      </c>
      <c r="D278" s="6">
        <f ca="1">IFERROR(__xludf.DUMMYFUNCTION("GoogleFinance(A278, ""eps"")"),4.33)</f>
        <v>4.33</v>
      </c>
      <c r="E278" s="6">
        <f ca="1">IFERROR(__xludf.DUMMYFUNCTION("GOOGLEFINANCE(A278,""pe"")"),50.47)</f>
        <v>50.47</v>
      </c>
      <c r="F278" s="6">
        <f ca="1">IFERROR(__xludf.DUMMYFUNCTION("GoogleFinance(A278, ""beta"")"),1.02)</f>
        <v>1.02</v>
      </c>
      <c r="G278" s="13">
        <f ca="1">IFERROR(__xludf.DUMMYFUNCTION("GOOGLEFINANCE(A278,""shares"")"),84100000)</f>
        <v>84100000</v>
      </c>
      <c r="H278" s="10">
        <f ca="1">IFERROR(__xludf.DUMMYFUNCTION("GOOGLEFINANCE(A278,""marketcap"")"),18372488749)</f>
        <v>18372488749</v>
      </c>
      <c r="I278" s="13">
        <f ca="1">IFERROR(__xludf.DUMMYFUNCTION("GOOGLEFINANCE(A278,""volume"")"),607583)</f>
        <v>607583</v>
      </c>
      <c r="J278" s="13">
        <f ca="1">IFERROR(__xludf.DUMMYFUNCTION("GOOGLEFINANCE(A278,""volumeavg"")"),838023)</f>
        <v>838023</v>
      </c>
      <c r="K278" s="15">
        <f ca="1">IFERROR(__xludf.DUMMYFUNCTION("GOOGLEFINANCE(A278,""high52"")"),234.09)</f>
        <v>234.09</v>
      </c>
      <c r="L278" s="15">
        <f ca="1">IFERROR(__xludf.DUMMYFUNCTION("GOOGLEFINANCE(A278,""low52"")"),179.58)</f>
        <v>179.58</v>
      </c>
      <c r="M278" s="7">
        <f t="shared" ca="1" si="0"/>
        <v>45379.717931597224</v>
      </c>
    </row>
    <row r="279" spans="1:13">
      <c r="A279" s="4" t="s">
        <v>290</v>
      </c>
      <c r="B279" s="5" t="str">
        <f ca="1">IFERROR(__xludf.DUMMYFUNCTION("GoogleFinance(A279, ""name"")"),"L3Harris Technologies Inc")</f>
        <v>L3Harris Technologies Inc</v>
      </c>
      <c r="C279" s="15">
        <f ca="1">IFERROR(__xludf.DUMMYFUNCTION("GoogleFinance(A279, ""price"")"),213.1)</f>
        <v>213.1</v>
      </c>
      <c r="D279" s="6">
        <f ca="1">IFERROR(__xludf.DUMMYFUNCTION("GoogleFinance(A279, ""eps"")"),6.44)</f>
        <v>6.44</v>
      </c>
      <c r="E279" s="6">
        <f ca="1">IFERROR(__xludf.DUMMYFUNCTION("GOOGLEFINANCE(A279,""pe"")"),33.1)</f>
        <v>33.1</v>
      </c>
      <c r="F279" s="6">
        <f ca="1">IFERROR(__xludf.DUMMYFUNCTION("GoogleFinance(A279, ""beta"")"),0.65)</f>
        <v>0.65</v>
      </c>
      <c r="G279" s="13">
        <f ca="1">IFERROR(__xludf.DUMMYFUNCTION("GOOGLEFINANCE(A279,""shares"")"),190090000)</f>
        <v>190090000</v>
      </c>
      <c r="H279" s="10">
        <f ca="1">IFERROR(__xludf.DUMMYFUNCTION("GOOGLEFINANCE(A279,""marketcap"")"),40508073610)</f>
        <v>40508073610</v>
      </c>
      <c r="I279" s="13">
        <f ca="1">IFERROR(__xludf.DUMMYFUNCTION("GOOGLEFINANCE(A279,""volume"")"),1193920)</f>
        <v>1193920</v>
      </c>
      <c r="J279" s="13">
        <f ca="1">IFERROR(__xludf.DUMMYFUNCTION("GOOGLEFINANCE(A279,""volumeavg"")"),1051188)</f>
        <v>1051188</v>
      </c>
      <c r="K279" s="15">
        <f ca="1">IFERROR(__xludf.DUMMYFUNCTION("GOOGLEFINANCE(A279,""high52"")"),218.34)</f>
        <v>218.34</v>
      </c>
      <c r="L279" s="15">
        <f ca="1">IFERROR(__xludf.DUMMYFUNCTION("GOOGLEFINANCE(A279,""low52"")"),160.25)</f>
        <v>160.25</v>
      </c>
      <c r="M279" s="7">
        <f t="shared" ca="1" si="0"/>
        <v>45379.717931597224</v>
      </c>
    </row>
    <row r="280" spans="1:13">
      <c r="A280" s="4" t="s">
        <v>291</v>
      </c>
      <c r="B280" s="5" t="str">
        <f ca="1">IFERROR(__xludf.DUMMYFUNCTION("GoogleFinance(A280, ""name"")"),"Linde PLC")</f>
        <v>Linde PLC</v>
      </c>
      <c r="C280" s="15">
        <f ca="1">IFERROR(__xludf.DUMMYFUNCTION("GoogleFinance(A280, ""price"")"),464.32)</f>
        <v>464.32</v>
      </c>
      <c r="D280" s="6">
        <f ca="1">IFERROR(__xludf.DUMMYFUNCTION("GoogleFinance(A280, ""eps"")"),12.59)</f>
        <v>12.59</v>
      </c>
      <c r="E280" s="6">
        <f ca="1">IFERROR(__xludf.DUMMYFUNCTION("GOOGLEFINANCE(A280,""pe"")"),36.87)</f>
        <v>36.869999999999997</v>
      </c>
      <c r="F280" s="6">
        <f ca="1">IFERROR(__xludf.DUMMYFUNCTION("GoogleFinance(A280, ""beta"")"),0.93)</f>
        <v>0.93</v>
      </c>
      <c r="G280" s="13">
        <f ca="1">IFERROR(__xludf.DUMMYFUNCTION("GOOGLEFINANCE(A280,""shares"")"),481576000)</f>
        <v>481576000</v>
      </c>
      <c r="H280" s="10">
        <f ca="1">IFERROR(__xludf.DUMMYFUNCTION("GOOGLEFINANCE(A280,""marketcap"")"),223605557575)</f>
        <v>223605557575</v>
      </c>
      <c r="I280" s="13">
        <f ca="1">IFERROR(__xludf.DUMMYFUNCTION("GOOGLEFINANCE(A280,""volume"")"),1784986)</f>
        <v>1784986</v>
      </c>
      <c r="J280" s="13">
        <f ca="1">IFERROR(__xludf.DUMMYFUNCTION("GOOGLEFINANCE(A280,""volumeavg"")"),3291433)</f>
        <v>3291433</v>
      </c>
      <c r="K280" s="15">
        <f ca="1">IFERROR(__xludf.DUMMYFUNCTION("GOOGLEFINANCE(A280,""high52"")"),477.71)</f>
        <v>477.71</v>
      </c>
      <c r="L280" s="15">
        <f ca="1">IFERROR(__xludf.DUMMYFUNCTION("GOOGLEFINANCE(A280,""low52"")"),348.38)</f>
        <v>348.38</v>
      </c>
      <c r="M280" s="7">
        <f t="shared" ca="1" si="0"/>
        <v>45379.717931597224</v>
      </c>
    </row>
    <row r="281" spans="1:13">
      <c r="A281" s="4" t="s">
        <v>292</v>
      </c>
      <c r="B281" s="5" t="str">
        <f ca="1">IFERROR(__xludf.DUMMYFUNCTION("GoogleFinance(A281, ""name"")"),"LKQ Corp")</f>
        <v>LKQ Corp</v>
      </c>
      <c r="C281" s="15">
        <f ca="1">IFERROR(__xludf.DUMMYFUNCTION("GoogleFinance(A281, ""price"")"),53.41)</f>
        <v>53.41</v>
      </c>
      <c r="D281" s="6">
        <f ca="1">IFERROR(__xludf.DUMMYFUNCTION("GoogleFinance(A281, ""eps"")"),3.51)</f>
        <v>3.51</v>
      </c>
      <c r="E281" s="6">
        <f ca="1">IFERROR(__xludf.DUMMYFUNCTION("GOOGLEFINANCE(A281,""pe"")"),15.21)</f>
        <v>15.21</v>
      </c>
      <c r="F281" s="6">
        <f ca="1">IFERROR(__xludf.DUMMYFUNCTION("GoogleFinance(A281, ""beta"")"),1.28)</f>
        <v>1.28</v>
      </c>
      <c r="G281" s="13">
        <f ca="1">IFERROR(__xludf.DUMMYFUNCTION("GOOGLEFINANCE(A281,""shares"")"),266607000)</f>
        <v>266607000</v>
      </c>
      <c r="H281" s="10">
        <f ca="1">IFERROR(__xludf.DUMMYFUNCTION("GOOGLEFINANCE(A281,""marketcap"")"),14239453124)</f>
        <v>14239453124</v>
      </c>
      <c r="I281" s="13">
        <f ca="1">IFERROR(__xludf.DUMMYFUNCTION("GOOGLEFINANCE(A281,""volume"")"),1120810)</f>
        <v>1120810</v>
      </c>
      <c r="J281" s="13">
        <f ca="1">IFERROR(__xludf.DUMMYFUNCTION("GOOGLEFINANCE(A281,""volumeavg"")"),1683886)</f>
        <v>1683886</v>
      </c>
      <c r="K281" s="15">
        <f ca="1">IFERROR(__xludf.DUMMYFUNCTION("GOOGLEFINANCE(A281,""high52"")"),59.38)</f>
        <v>59.38</v>
      </c>
      <c r="L281" s="15">
        <f ca="1">IFERROR(__xludf.DUMMYFUNCTION("GOOGLEFINANCE(A281,""low52"")"),41.49)</f>
        <v>41.49</v>
      </c>
      <c r="M281" s="7">
        <f t="shared" ca="1" si="0"/>
        <v>45379.717931597224</v>
      </c>
    </row>
    <row r="282" spans="1:13">
      <c r="A282" s="4" t="s">
        <v>293</v>
      </c>
      <c r="B282" s="5" t="str">
        <f ca="1">IFERROR(__xludf.DUMMYFUNCTION("GoogleFinance(A282, ""name"")"),"Eli Lilly And Co")</f>
        <v>Eli Lilly And Co</v>
      </c>
      <c r="C282" s="15">
        <f ca="1">IFERROR(__xludf.DUMMYFUNCTION("GoogleFinance(A282, ""price"")"),777.96)</f>
        <v>777.96</v>
      </c>
      <c r="D282" s="6">
        <f ca="1">IFERROR(__xludf.DUMMYFUNCTION("GoogleFinance(A282, ""eps"")"),5.8)</f>
        <v>5.8</v>
      </c>
      <c r="E282" s="6">
        <f ca="1">IFERROR(__xludf.DUMMYFUNCTION("GOOGLEFINANCE(A282,""pe"")"),134.1)</f>
        <v>134.1</v>
      </c>
      <c r="F282" s="6">
        <f ca="1">IFERROR(__xludf.DUMMYFUNCTION("GoogleFinance(A282, ""beta"")"),0.34)</f>
        <v>0.34</v>
      </c>
      <c r="G282" s="13">
        <f ca="1">IFERROR(__xludf.DUMMYFUNCTION("GOOGLEFINANCE(A282,""shares"")"),950766000)</f>
        <v>950766000</v>
      </c>
      <c r="H282" s="10">
        <f ca="1">IFERROR(__xludf.DUMMYFUNCTION("GOOGLEFINANCE(A282,""marketcap"")"),739658016046)</f>
        <v>739658016046</v>
      </c>
      <c r="I282" s="13">
        <f ca="1">IFERROR(__xludf.DUMMYFUNCTION("GOOGLEFINANCE(A282,""volume"")"),3208888)</f>
        <v>3208888</v>
      </c>
      <c r="J282" s="13">
        <f ca="1">IFERROR(__xludf.DUMMYFUNCTION("GOOGLEFINANCE(A282,""volumeavg"")"),2984984)</f>
        <v>2984984</v>
      </c>
      <c r="K282" s="15">
        <f ca="1">IFERROR(__xludf.DUMMYFUNCTION("GOOGLEFINANCE(A282,""high52"")"),800.78)</f>
        <v>800.78</v>
      </c>
      <c r="L282" s="15">
        <f ca="1">IFERROR(__xludf.DUMMYFUNCTION("GOOGLEFINANCE(A282,""low52"")"),334.58)</f>
        <v>334.58</v>
      </c>
      <c r="M282" s="7">
        <f t="shared" ca="1" si="0"/>
        <v>45379.717931597224</v>
      </c>
    </row>
    <row r="283" spans="1:13">
      <c r="A283" s="4" t="s">
        <v>294</v>
      </c>
      <c r="B283" s="5" t="str">
        <f ca="1">IFERROR(__xludf.DUMMYFUNCTION("GoogleFinance(A283, ""name"")"),"Lockheed Martin Corp")</f>
        <v>Lockheed Martin Corp</v>
      </c>
      <c r="C283" s="15">
        <f ca="1">IFERROR(__xludf.DUMMYFUNCTION("GoogleFinance(A283, ""price"")"),454.87)</f>
        <v>454.87</v>
      </c>
      <c r="D283" s="6">
        <f ca="1">IFERROR(__xludf.DUMMYFUNCTION("GoogleFinance(A283, ""eps"")"),27.55)</f>
        <v>27.55</v>
      </c>
      <c r="E283" s="6">
        <f ca="1">IFERROR(__xludf.DUMMYFUNCTION("GOOGLEFINANCE(A283,""pe"")"),16.51)</f>
        <v>16.510000000000002</v>
      </c>
      <c r="F283" s="6">
        <f ca="1">IFERROR(__xludf.DUMMYFUNCTION("GoogleFinance(A283, ""beta"")"),0.48)</f>
        <v>0.48</v>
      </c>
      <c r="G283" s="13">
        <f ca="1">IFERROR(__xludf.DUMMYFUNCTION("GOOGLEFINANCE(A283,""shares"")"),241643000)</f>
        <v>241643000</v>
      </c>
      <c r="H283" s="10">
        <f ca="1">IFERROR(__xludf.DUMMYFUNCTION("GOOGLEFINANCE(A283,""marketcap"")"),109394141423)</f>
        <v>109394141423</v>
      </c>
      <c r="I283" s="13">
        <f ca="1">IFERROR(__xludf.DUMMYFUNCTION("GOOGLEFINANCE(A283,""volume"")"),1119536)</f>
        <v>1119536</v>
      </c>
      <c r="J283" s="13">
        <f ca="1">IFERROR(__xludf.DUMMYFUNCTION("GOOGLEFINANCE(A283,""volumeavg"")"),1149794)</f>
        <v>1149794</v>
      </c>
      <c r="K283" s="15">
        <f ca="1">IFERROR(__xludf.DUMMYFUNCTION("GOOGLEFINANCE(A283,""high52"")"),508.1)</f>
        <v>508.1</v>
      </c>
      <c r="L283" s="15">
        <f ca="1">IFERROR(__xludf.DUMMYFUNCTION("GOOGLEFINANCE(A283,""low52"")"),393.77)</f>
        <v>393.77</v>
      </c>
      <c r="M283" s="7">
        <f t="shared" ca="1" si="0"/>
        <v>45379.717931597224</v>
      </c>
    </row>
    <row r="284" spans="1:13">
      <c r="A284" s="4" t="s">
        <v>295</v>
      </c>
      <c r="B284" s="5" t="str">
        <f ca="1">IFERROR(__xludf.DUMMYFUNCTION("GoogleFinance(A284, ""name"")"),"Alliant Energy Corporation")</f>
        <v>Alliant Energy Corporation</v>
      </c>
      <c r="C284" s="15">
        <f ca="1">IFERROR(__xludf.DUMMYFUNCTION("GoogleFinance(A284, ""price"")"),50.4)</f>
        <v>50.4</v>
      </c>
      <c r="D284" s="6">
        <f ca="1">IFERROR(__xludf.DUMMYFUNCTION("GoogleFinance(A284, ""eps"")"),2.78)</f>
        <v>2.78</v>
      </c>
      <c r="E284" s="6">
        <f ca="1">IFERROR(__xludf.DUMMYFUNCTION("GOOGLEFINANCE(A284,""pe"")"),18.16)</f>
        <v>18.16</v>
      </c>
      <c r="F284" s="6">
        <f ca="1">IFERROR(__xludf.DUMMYFUNCTION("GoogleFinance(A284, ""beta"")"),0.55)</f>
        <v>0.55000000000000004</v>
      </c>
      <c r="G284" s="13">
        <f ca="1">IFERROR(__xludf.DUMMYFUNCTION("GOOGLEFINANCE(A284,""shares"")"),256100000)</f>
        <v>256100000</v>
      </c>
      <c r="H284" s="10">
        <f ca="1">IFERROR(__xludf.DUMMYFUNCTION("GOOGLEFINANCE(A284,""marketcap"")"),12907450470)</f>
        <v>12907450470</v>
      </c>
      <c r="I284" s="13">
        <f ca="1">IFERROR(__xludf.DUMMYFUNCTION("GOOGLEFINANCE(A284,""volume"")"),2540569)</f>
        <v>2540569</v>
      </c>
      <c r="J284" s="13">
        <f ca="1">IFERROR(__xludf.DUMMYFUNCTION("GOOGLEFINANCE(A284,""volumeavg"")"),1949922)</f>
        <v>1949922</v>
      </c>
      <c r="K284" s="15">
        <f ca="1">IFERROR(__xludf.DUMMYFUNCTION("GOOGLEFINANCE(A284,""high52"")"),56.26)</f>
        <v>56.26</v>
      </c>
      <c r="L284" s="15">
        <f ca="1">IFERROR(__xludf.DUMMYFUNCTION("GOOGLEFINANCE(A284,""low52"")"),45.15)</f>
        <v>45.15</v>
      </c>
      <c r="M284" s="7">
        <f t="shared" ca="1" si="0"/>
        <v>45379.717931597224</v>
      </c>
    </row>
    <row r="285" spans="1:13">
      <c r="A285" s="4" t="s">
        <v>296</v>
      </c>
      <c r="B285" s="5" t="str">
        <f ca="1">IFERROR(__xludf.DUMMYFUNCTION("GoogleFinance(A285, ""name"")"),"Lowe's Companies Inc")</f>
        <v>Lowe's Companies Inc</v>
      </c>
      <c r="C285" s="15">
        <f ca="1">IFERROR(__xludf.DUMMYFUNCTION("GoogleFinance(A285, ""price"")"),254.73)</f>
        <v>254.73</v>
      </c>
      <c r="D285" s="6">
        <f ca="1">IFERROR(__xludf.DUMMYFUNCTION("GoogleFinance(A285, ""eps"")"),13.2)</f>
        <v>13.2</v>
      </c>
      <c r="E285" s="6">
        <f ca="1">IFERROR(__xludf.DUMMYFUNCTION("GOOGLEFINANCE(A285,""pe"")"),19.3)</f>
        <v>19.3</v>
      </c>
      <c r="F285" s="6">
        <f ca="1">IFERROR(__xludf.DUMMYFUNCTION("GoogleFinance(A285, ""beta"")"),1.13)</f>
        <v>1.1299999999999999</v>
      </c>
      <c r="G285" s="13">
        <f ca="1">IFERROR(__xludf.DUMMYFUNCTION("GOOGLEFINANCE(A285,""shares"")"),572184000)</f>
        <v>572184000</v>
      </c>
      <c r="H285" s="10">
        <f ca="1">IFERROR(__xludf.DUMMYFUNCTION("GOOGLEFINANCE(A285,""marketcap"")"),145752453348)</f>
        <v>145752453348</v>
      </c>
      <c r="I285" s="13">
        <f ca="1">IFERROR(__xludf.DUMMYFUNCTION("GOOGLEFINANCE(A285,""volume"")"),2631233)</f>
        <v>2631233</v>
      </c>
      <c r="J285" s="13">
        <f ca="1">IFERROR(__xludf.DUMMYFUNCTION("GOOGLEFINANCE(A285,""volumeavg"")"),2492463)</f>
        <v>2492463</v>
      </c>
      <c r="K285" s="15">
        <f ca="1">IFERROR(__xludf.DUMMYFUNCTION("GOOGLEFINANCE(A285,""high52"")"),262.49)</f>
        <v>262.49</v>
      </c>
      <c r="L285" s="15">
        <f ca="1">IFERROR(__xludf.DUMMYFUNCTION("GOOGLEFINANCE(A285,""low52"")"),181.85)</f>
        <v>181.85</v>
      </c>
      <c r="M285" s="7">
        <f t="shared" ca="1" si="0"/>
        <v>45379.717931597224</v>
      </c>
    </row>
    <row r="286" spans="1:13">
      <c r="A286" s="4" t="s">
        <v>297</v>
      </c>
      <c r="B286" s="5" t="str">
        <f ca="1">IFERROR(__xludf.DUMMYFUNCTION("GoogleFinance(A286, ""name"")"),"Lam Research Corporation")</f>
        <v>Lam Research Corporation</v>
      </c>
      <c r="C286" s="15">
        <f ca="1">IFERROR(__xludf.DUMMYFUNCTION("GoogleFinance(A286, ""price"")"),971.57)</f>
        <v>971.57</v>
      </c>
      <c r="D286" s="6">
        <f ca="1">IFERROR(__xludf.DUMMYFUNCTION("GoogleFinance(A286, ""eps"")"),25.86)</f>
        <v>25.86</v>
      </c>
      <c r="E286" s="6">
        <f ca="1">IFERROR(__xludf.DUMMYFUNCTION("GOOGLEFINANCE(A286,""pe"")"),37.56)</f>
        <v>37.56</v>
      </c>
      <c r="F286" s="6">
        <f ca="1">IFERROR(__xludf.DUMMYFUNCTION("GoogleFinance(A286, ""beta"")"),1.51)</f>
        <v>1.51</v>
      </c>
      <c r="G286" s="13">
        <f ca="1">IFERROR(__xludf.DUMMYFUNCTION("GOOGLEFINANCE(A286,""shares"")"),131103000)</f>
        <v>131103000</v>
      </c>
      <c r="H286" s="10">
        <f ca="1">IFERROR(__xludf.DUMMYFUNCTION("GOOGLEFINANCE(A286,""marketcap"")"),127375645513)</f>
        <v>127375645513</v>
      </c>
      <c r="I286" s="13">
        <f ca="1">IFERROR(__xludf.DUMMYFUNCTION("GOOGLEFINANCE(A286,""volume"")"),663997)</f>
        <v>663997</v>
      </c>
      <c r="J286" s="13">
        <f ca="1">IFERROR(__xludf.DUMMYFUNCTION("GOOGLEFINANCE(A286,""volumeavg"")"),1018211)</f>
        <v>1018211</v>
      </c>
      <c r="K286" s="15">
        <f ca="1">IFERROR(__xludf.DUMMYFUNCTION("GOOGLEFINANCE(A286,""high52"")"),1007.39)</f>
        <v>1007.39</v>
      </c>
      <c r="L286" s="15">
        <f ca="1">IFERROR(__xludf.DUMMYFUNCTION("GOOGLEFINANCE(A286,""low52"")"),480.45)</f>
        <v>480.45</v>
      </c>
      <c r="M286" s="7">
        <f t="shared" ca="1" si="0"/>
        <v>45379.717931597224</v>
      </c>
    </row>
    <row r="287" spans="1:13">
      <c r="A287" s="4" t="s">
        <v>298</v>
      </c>
      <c r="B287" s="5" t="str">
        <f ca="1">IFERROR(__xludf.DUMMYFUNCTION("GoogleFinance(A287, ""name"")"),"Lululemon Athletica Inc")</f>
        <v>Lululemon Athletica Inc</v>
      </c>
      <c r="C287" s="15">
        <f ca="1">IFERROR(__xludf.DUMMYFUNCTION("GoogleFinance(A287, ""price"")"),390.65)</f>
        <v>390.65</v>
      </c>
      <c r="D287" s="6">
        <f ca="1">IFERROR(__xludf.DUMMYFUNCTION("GoogleFinance(A287, ""eps"")"),12.2)</f>
        <v>12.2</v>
      </c>
      <c r="E287" s="6">
        <f ca="1">IFERROR(__xludf.DUMMYFUNCTION("GOOGLEFINANCE(A287,""pe"")"),32.02)</f>
        <v>32.020000000000003</v>
      </c>
      <c r="F287" s="6">
        <f ca="1">IFERROR(__xludf.DUMMYFUNCTION("GoogleFinance(A287, ""beta"")"),1.33)</f>
        <v>1.33</v>
      </c>
      <c r="G287" s="13">
        <f ca="1">IFERROR(__xludf.DUMMYFUNCTION("GOOGLEFINANCE(A287,""shares"")"),120892000)</f>
        <v>120892000</v>
      </c>
      <c r="H287" s="10">
        <f ca="1">IFERROR(__xludf.DUMMYFUNCTION("GOOGLEFINANCE(A287,""marketcap"")"),47226498127)</f>
        <v>47226498127</v>
      </c>
      <c r="I287" s="13">
        <f ca="1">IFERROR(__xludf.DUMMYFUNCTION("GOOGLEFINANCE(A287,""volume"")"),1698525)</f>
        <v>1698525</v>
      </c>
      <c r="J287" s="13">
        <f ca="1">IFERROR(__xludf.DUMMYFUNCTION("GOOGLEFINANCE(A287,""volumeavg"")"),2102091)</f>
        <v>2102091</v>
      </c>
      <c r="K287" s="15">
        <f ca="1">IFERROR(__xludf.DUMMYFUNCTION("GOOGLEFINANCE(A287,""high52"")"),516.39)</f>
        <v>516.39</v>
      </c>
      <c r="L287" s="15">
        <f ca="1">IFERROR(__xludf.DUMMYFUNCTION("GOOGLEFINANCE(A287,""low52"")"),326.93)</f>
        <v>326.93</v>
      </c>
      <c r="M287" s="7">
        <f t="shared" ca="1" si="0"/>
        <v>45379.717931597224</v>
      </c>
    </row>
    <row r="288" spans="1:13">
      <c r="A288" s="4" t="s">
        <v>299</v>
      </c>
      <c r="B288" s="5" t="str">
        <f ca="1">IFERROR(__xludf.DUMMYFUNCTION("GoogleFinance(A288, ""name"")"),"Southwest Airlines Co")</f>
        <v>Southwest Airlines Co</v>
      </c>
      <c r="C288" s="15">
        <f ca="1">IFERROR(__xludf.DUMMYFUNCTION("GoogleFinance(A288, ""price"")"),29.19)</f>
        <v>29.19</v>
      </c>
      <c r="D288" s="6">
        <f ca="1">IFERROR(__xludf.DUMMYFUNCTION("GoogleFinance(A288, ""eps"")"),0.73)</f>
        <v>0.73</v>
      </c>
      <c r="E288" s="6">
        <f ca="1">IFERROR(__xludf.DUMMYFUNCTION("GOOGLEFINANCE(A288,""pe"")"),40.18)</f>
        <v>40.18</v>
      </c>
      <c r="F288" s="6">
        <f ca="1">IFERROR(__xludf.DUMMYFUNCTION("GoogleFinance(A288, ""beta"")"),1.16)</f>
        <v>1.1599999999999999</v>
      </c>
      <c r="G288" s="13">
        <f ca="1">IFERROR(__xludf.DUMMYFUNCTION("GOOGLEFINANCE(A288,""shares"")"),596665000)</f>
        <v>596665000</v>
      </c>
      <c r="H288" s="10">
        <f ca="1">IFERROR(__xludf.DUMMYFUNCTION("GOOGLEFINANCE(A288,""marketcap"")"),17416637073)</f>
        <v>17416637073</v>
      </c>
      <c r="I288" s="13">
        <f ca="1">IFERROR(__xludf.DUMMYFUNCTION("GOOGLEFINANCE(A288,""volume"")"),10002451)</f>
        <v>10002451</v>
      </c>
      <c r="J288" s="13">
        <f ca="1">IFERROR(__xludf.DUMMYFUNCTION("GOOGLEFINANCE(A288,""volumeavg"")"),8378386)</f>
        <v>8378386</v>
      </c>
      <c r="K288" s="15">
        <f ca="1">IFERROR(__xludf.DUMMYFUNCTION("GOOGLEFINANCE(A288,""high52"")"),39.53)</f>
        <v>39.53</v>
      </c>
      <c r="L288" s="15">
        <f ca="1">IFERROR(__xludf.DUMMYFUNCTION("GOOGLEFINANCE(A288,""low52"")"),21.91)</f>
        <v>21.91</v>
      </c>
      <c r="M288" s="7">
        <f t="shared" ca="1" si="0"/>
        <v>45379.717931597224</v>
      </c>
    </row>
    <row r="289" spans="1:13">
      <c r="A289" s="4" t="s">
        <v>300</v>
      </c>
      <c r="B289" s="5" t="str">
        <f ca="1">IFERROR(__xludf.DUMMYFUNCTION("GoogleFinance(A289, ""name"")"),"Las Vegas Sands Corp.")</f>
        <v>Las Vegas Sands Corp.</v>
      </c>
      <c r="C289" s="15">
        <f ca="1">IFERROR(__xludf.DUMMYFUNCTION("GoogleFinance(A289, ""price"")"),51.7)</f>
        <v>51.7</v>
      </c>
      <c r="D289" s="6">
        <f ca="1">IFERROR(__xludf.DUMMYFUNCTION("GoogleFinance(A289, ""eps"")"),1.6)</f>
        <v>1.6</v>
      </c>
      <c r="E289" s="6">
        <f ca="1">IFERROR(__xludf.DUMMYFUNCTION("GOOGLEFINANCE(A289,""pe"")"),32.39)</f>
        <v>32.39</v>
      </c>
      <c r="F289" s="6">
        <f ca="1">IFERROR(__xludf.DUMMYFUNCTION("GoogleFinance(A289, ""beta"")"),1.17)</f>
        <v>1.17</v>
      </c>
      <c r="G289" s="13">
        <f ca="1">IFERROR(__xludf.DUMMYFUNCTION("GOOGLEFINANCE(A289,""shares"")"),753621000)</f>
        <v>753621000</v>
      </c>
      <c r="H289" s="10">
        <f ca="1">IFERROR(__xludf.DUMMYFUNCTION("GOOGLEFINANCE(A289,""marketcap"")"),38962226954)</f>
        <v>38962226954</v>
      </c>
      <c r="I289" s="13">
        <f ca="1">IFERROR(__xludf.DUMMYFUNCTION("GOOGLEFINANCE(A289,""volume"")"),4729128)</f>
        <v>4729128</v>
      </c>
      <c r="J289" s="13">
        <f ca="1">IFERROR(__xludf.DUMMYFUNCTION("GOOGLEFINANCE(A289,""volumeavg"")"),3912915)</f>
        <v>3912915</v>
      </c>
      <c r="K289" s="15">
        <f ca="1">IFERROR(__xludf.DUMMYFUNCTION("GOOGLEFINANCE(A289,""high52"")"),65.58)</f>
        <v>65.58</v>
      </c>
      <c r="L289" s="15">
        <f ca="1">IFERROR(__xludf.DUMMYFUNCTION("GOOGLEFINANCE(A289,""low52"")"),43.77)</f>
        <v>43.77</v>
      </c>
      <c r="M289" s="7">
        <f t="shared" ca="1" si="0"/>
        <v>45379.717931597224</v>
      </c>
    </row>
    <row r="290" spans="1:13">
      <c r="A290" s="4" t="s">
        <v>301</v>
      </c>
      <c r="B290" s="5" t="str">
        <f ca="1">IFERROR(__xludf.DUMMYFUNCTION("GoogleFinance(A290, ""name"")"),"Lamb Weston Holdings Inc")</f>
        <v>Lamb Weston Holdings Inc</v>
      </c>
      <c r="C290" s="15">
        <f ca="1">IFERROR(__xludf.DUMMYFUNCTION("GoogleFinance(A290, ""price"")"),106.53)</f>
        <v>106.53</v>
      </c>
      <c r="D290" s="6">
        <f ca="1">IFERROR(__xludf.DUMMYFUNCTION("GoogleFinance(A290, ""eps"")"),7.69)</f>
        <v>7.69</v>
      </c>
      <c r="E290" s="6">
        <f ca="1">IFERROR(__xludf.DUMMYFUNCTION("GOOGLEFINANCE(A290,""pe"")"),13.86)</f>
        <v>13.86</v>
      </c>
      <c r="F290" s="6">
        <f ca="1">IFERROR(__xludf.DUMMYFUNCTION("GoogleFinance(A290, ""beta"")"),0.72)</f>
        <v>0.72</v>
      </c>
      <c r="G290" s="13">
        <f ca="1">IFERROR(__xludf.DUMMYFUNCTION("GOOGLEFINANCE(A290,""shares"")"),144372000)</f>
        <v>144372000</v>
      </c>
      <c r="H290" s="10">
        <f ca="1">IFERROR(__xludf.DUMMYFUNCTION("GOOGLEFINANCE(A290,""marketcap"")"),15380002248)</f>
        <v>15380002248</v>
      </c>
      <c r="I290" s="13">
        <f ca="1">IFERROR(__xludf.DUMMYFUNCTION("GOOGLEFINANCE(A290,""volume"")"),1407487)</f>
        <v>1407487</v>
      </c>
      <c r="J290" s="13">
        <f ca="1">IFERROR(__xludf.DUMMYFUNCTION("GOOGLEFINANCE(A290,""volumeavg"")"),1465696)</f>
        <v>1465696</v>
      </c>
      <c r="K290" s="15">
        <f ca="1">IFERROR(__xludf.DUMMYFUNCTION("GOOGLEFINANCE(A290,""high52"")"),117.38)</f>
        <v>117.38</v>
      </c>
      <c r="L290" s="15">
        <f ca="1">IFERROR(__xludf.DUMMYFUNCTION("GOOGLEFINANCE(A290,""low52"")"),81.26)</f>
        <v>81.260000000000005</v>
      </c>
      <c r="M290" s="7">
        <f t="shared" ca="1" si="0"/>
        <v>45379.717931597224</v>
      </c>
    </row>
    <row r="291" spans="1:13">
      <c r="A291" s="4" t="s">
        <v>302</v>
      </c>
      <c r="B291" s="5" t="str">
        <f ca="1">IFERROR(__xludf.DUMMYFUNCTION("GoogleFinance(A291, ""name"")"),"LyondellBasell Industries NV")</f>
        <v>LyondellBasell Industries NV</v>
      </c>
      <c r="C291" s="15">
        <f ca="1">IFERROR(__xludf.DUMMYFUNCTION("GoogleFinance(A291, ""price"")"),102.28)</f>
        <v>102.28</v>
      </c>
      <c r="D291" s="6">
        <f ca="1">IFERROR(__xludf.DUMMYFUNCTION("GoogleFinance(A291, ""eps"")"),6.48)</f>
        <v>6.48</v>
      </c>
      <c r="E291" s="6">
        <f ca="1">IFERROR(__xludf.DUMMYFUNCTION("GOOGLEFINANCE(A291,""pe"")"),15.79)</f>
        <v>15.79</v>
      </c>
      <c r="F291" s="6">
        <f ca="1">IFERROR(__xludf.DUMMYFUNCTION("GoogleFinance(A291, ""beta"")"),1.16)</f>
        <v>1.1599999999999999</v>
      </c>
      <c r="G291" s="13">
        <f ca="1">IFERROR(__xludf.DUMMYFUNCTION("GOOGLEFINANCE(A291,""shares"")"),324523000)</f>
        <v>324523000</v>
      </c>
      <c r="H291" s="10">
        <f ca="1">IFERROR(__xludf.DUMMYFUNCTION("GOOGLEFINANCE(A291,""marketcap"")"),33192222271)</f>
        <v>33192222271</v>
      </c>
      <c r="I291" s="13">
        <f ca="1">IFERROR(__xludf.DUMMYFUNCTION("GOOGLEFINANCE(A291,""volume"")"),1962099)</f>
        <v>1962099</v>
      </c>
      <c r="J291" s="13">
        <f ca="1">IFERROR(__xludf.DUMMYFUNCTION("GOOGLEFINANCE(A291,""volumeavg"")"),2323233)</f>
        <v>2323233</v>
      </c>
      <c r="K291" s="15">
        <f ca="1">IFERROR(__xludf.DUMMYFUNCTION("GOOGLEFINANCE(A291,""high52"")"),103.3)</f>
        <v>103.3</v>
      </c>
      <c r="L291" s="15">
        <f ca="1">IFERROR(__xludf.DUMMYFUNCTION("GOOGLEFINANCE(A291,""low52"")"),84.8)</f>
        <v>84.8</v>
      </c>
      <c r="M291" s="7">
        <f t="shared" ca="1" si="0"/>
        <v>45379.717931597224</v>
      </c>
    </row>
    <row r="292" spans="1:13">
      <c r="A292" s="4" t="s">
        <v>303</v>
      </c>
      <c r="B292" s="5" t="str">
        <f ca="1">IFERROR(__xludf.DUMMYFUNCTION("GoogleFinance(A292, ""name"")"),"Live Nation Entertainment Inc")</f>
        <v>Live Nation Entertainment Inc</v>
      </c>
      <c r="C292" s="15">
        <f ca="1">IFERROR(__xludf.DUMMYFUNCTION("GoogleFinance(A292, ""price"")"),105.77)</f>
        <v>105.77</v>
      </c>
      <c r="D292" s="6">
        <f ca="1">IFERROR(__xludf.DUMMYFUNCTION("GoogleFinance(A292, ""eps"")"),1.37)</f>
        <v>1.37</v>
      </c>
      <c r="E292" s="6">
        <f ca="1">IFERROR(__xludf.DUMMYFUNCTION("GOOGLEFINANCE(A292,""pe"")"),77.35)</f>
        <v>77.349999999999994</v>
      </c>
      <c r="F292" s="6">
        <f ca="1">IFERROR(__xludf.DUMMYFUNCTION("GoogleFinance(A292, ""beta"")"),1.3)</f>
        <v>1.3</v>
      </c>
      <c r="G292" s="13">
        <f ca="1">IFERROR(__xludf.DUMMYFUNCTION("GOOGLEFINANCE(A292,""shares"")"),230798000)</f>
        <v>230798000</v>
      </c>
      <c r="H292" s="10">
        <f ca="1">IFERROR(__xludf.DUMMYFUNCTION("GOOGLEFINANCE(A292,""marketcap"")"),24411461377)</f>
        <v>24411461377</v>
      </c>
      <c r="I292" s="13">
        <f ca="1">IFERROR(__xludf.DUMMYFUNCTION("GOOGLEFINANCE(A292,""volume"")"),1465789)</f>
        <v>1465789</v>
      </c>
      <c r="J292" s="13">
        <f ca="1">IFERROR(__xludf.DUMMYFUNCTION("GOOGLEFINANCE(A292,""volumeavg"")"),2483710)</f>
        <v>2483710</v>
      </c>
      <c r="K292" s="15">
        <f ca="1">IFERROR(__xludf.DUMMYFUNCTION("GOOGLEFINANCE(A292,""high52"")"),107.24)</f>
        <v>107.24</v>
      </c>
      <c r="L292" s="15">
        <f ca="1">IFERROR(__xludf.DUMMYFUNCTION("GOOGLEFINANCE(A292,""low52"")"),64.96)</f>
        <v>64.959999999999994</v>
      </c>
      <c r="M292" s="7">
        <f t="shared" ca="1" si="0"/>
        <v>45379.717931597224</v>
      </c>
    </row>
    <row r="293" spans="1:13">
      <c r="A293" s="4" t="s">
        <v>304</v>
      </c>
      <c r="B293" s="5" t="str">
        <f ca="1">IFERROR(__xludf.DUMMYFUNCTION("GoogleFinance(A293, ""name"")"),"Mastercard Inc")</f>
        <v>Mastercard Inc</v>
      </c>
      <c r="C293" s="15">
        <f ca="1">IFERROR(__xludf.DUMMYFUNCTION("GoogleFinance(A293, ""price"")"),481.57)</f>
        <v>481.57</v>
      </c>
      <c r="D293" s="6">
        <f ca="1">IFERROR(__xludf.DUMMYFUNCTION("GoogleFinance(A293, ""eps"")"),11.83)</f>
        <v>11.83</v>
      </c>
      <c r="E293" s="6">
        <f ca="1">IFERROR(__xludf.DUMMYFUNCTION("GOOGLEFINANCE(A293,""pe"")"),40.69)</f>
        <v>40.69</v>
      </c>
      <c r="F293" s="6">
        <f ca="1">IFERROR(__xludf.DUMMYFUNCTION("GoogleFinance(A293, ""beta"")"),1.08)</f>
        <v>1.08</v>
      </c>
      <c r="G293" s="13">
        <f ca="1">IFERROR(__xludf.DUMMYFUNCTION("GOOGLEFINANCE(A293,""shares"")"),925723000)</f>
        <v>925723000</v>
      </c>
      <c r="H293" s="10">
        <f ca="1">IFERROR(__xludf.DUMMYFUNCTION("GOOGLEFINANCE(A293,""marketcap"")"),449252566487)</f>
        <v>449252566487</v>
      </c>
      <c r="I293" s="13">
        <f ca="1">IFERROR(__xludf.DUMMYFUNCTION("GOOGLEFINANCE(A293,""volume"")"),2214412)</f>
        <v>2214412</v>
      </c>
      <c r="J293" s="13">
        <f ca="1">IFERROR(__xludf.DUMMYFUNCTION("GOOGLEFINANCE(A293,""volumeavg"")"),2386290)</f>
        <v>2386290</v>
      </c>
      <c r="K293" s="15">
        <f ca="1">IFERROR(__xludf.DUMMYFUNCTION("GOOGLEFINANCE(A293,""high52"")"),490)</f>
        <v>490</v>
      </c>
      <c r="L293" s="15">
        <f ca="1">IFERROR(__xludf.DUMMYFUNCTION("GOOGLEFINANCE(A293,""low52"")"),355.82)</f>
        <v>355.82</v>
      </c>
      <c r="M293" s="7">
        <f t="shared" ca="1" si="0"/>
        <v>45379.717931597224</v>
      </c>
    </row>
    <row r="294" spans="1:13">
      <c r="A294" s="4" t="s">
        <v>305</v>
      </c>
      <c r="B294" s="5" t="str">
        <f ca="1">IFERROR(__xludf.DUMMYFUNCTION("GoogleFinance(A294, ""name"")"),"Mid-America Apartment Communities Inc")</f>
        <v>Mid-America Apartment Communities Inc</v>
      </c>
      <c r="C294" s="15">
        <f ca="1">IFERROR(__xludf.DUMMYFUNCTION("GoogleFinance(A294, ""price"")"),131.58)</f>
        <v>131.58000000000001</v>
      </c>
      <c r="D294" s="6">
        <f ca="1">IFERROR(__xludf.DUMMYFUNCTION("GoogleFinance(A294, ""eps"")"),4.71)</f>
        <v>4.71</v>
      </c>
      <c r="E294" s="6">
        <f ca="1">IFERROR(__xludf.DUMMYFUNCTION("GOOGLEFINANCE(A294,""pe"")"),27.95)</f>
        <v>27.95</v>
      </c>
      <c r="F294" s="6">
        <f ca="1">IFERROR(__xludf.DUMMYFUNCTION("GoogleFinance(A294, ""beta"")"),0.82)</f>
        <v>0.82</v>
      </c>
      <c r="G294" s="13">
        <f ca="1">IFERROR(__xludf.DUMMYFUNCTION("GOOGLEFINANCE(A294,""shares"")"),116716000)</f>
        <v>116716000</v>
      </c>
      <c r="H294" s="10">
        <f ca="1">IFERROR(__xludf.DUMMYFUNCTION("GOOGLEFINANCE(A294,""marketcap"")"),15357438861)</f>
        <v>15357438861</v>
      </c>
      <c r="I294" s="13">
        <f ca="1">IFERROR(__xludf.DUMMYFUNCTION("GOOGLEFINANCE(A294,""volume"")"),741936)</f>
        <v>741936</v>
      </c>
      <c r="J294" s="13">
        <f ca="1">IFERROR(__xludf.DUMMYFUNCTION("GOOGLEFINANCE(A294,""volumeavg"")"),717583)</f>
        <v>717583</v>
      </c>
      <c r="K294" s="15">
        <f ca="1">IFERROR(__xludf.DUMMYFUNCTION("GOOGLEFINANCE(A294,""high52"")"),158.46)</f>
        <v>158.46</v>
      </c>
      <c r="L294" s="15">
        <f ca="1">IFERROR(__xludf.DUMMYFUNCTION("GOOGLEFINANCE(A294,""low52"")"),115.56)</f>
        <v>115.56</v>
      </c>
      <c r="M294" s="7">
        <f t="shared" ca="1" si="0"/>
        <v>45379.717931597224</v>
      </c>
    </row>
    <row r="295" spans="1:13">
      <c r="A295" s="4" t="s">
        <v>306</v>
      </c>
      <c r="B295" s="5" t="str">
        <f ca="1">IFERROR(__xludf.DUMMYFUNCTION("GoogleFinance(A295, ""name"")"),"Marriott International Inc")</f>
        <v>Marriott International Inc</v>
      </c>
      <c r="C295" s="15">
        <f ca="1">IFERROR(__xludf.DUMMYFUNCTION("GoogleFinance(A295, ""price"")"),252.31)</f>
        <v>252.31</v>
      </c>
      <c r="D295" s="6">
        <f ca="1">IFERROR(__xludf.DUMMYFUNCTION("GoogleFinance(A295, ""eps"")"),10.18)</f>
        <v>10.18</v>
      </c>
      <c r="E295" s="6">
        <f ca="1">IFERROR(__xludf.DUMMYFUNCTION("GOOGLEFINANCE(A295,""pe"")"),24.79)</f>
        <v>24.79</v>
      </c>
      <c r="F295" s="6">
        <f ca="1">IFERROR(__xludf.DUMMYFUNCTION("GoogleFinance(A295, ""beta"")"),1.62)</f>
        <v>1.62</v>
      </c>
      <c r="G295" s="13">
        <f ca="1">IFERROR(__xludf.DUMMYFUNCTION("GOOGLEFINANCE(A295,""shares"")"),289485000)</f>
        <v>289485000</v>
      </c>
      <c r="H295" s="10">
        <f ca="1">IFERROR(__xludf.DUMMYFUNCTION("GOOGLEFINANCE(A295,""marketcap"")"),73040035336)</f>
        <v>73040035336</v>
      </c>
      <c r="I295" s="13">
        <f ca="1">IFERROR(__xludf.DUMMYFUNCTION("GOOGLEFINANCE(A295,""volume"")"),999237)</f>
        <v>999237</v>
      </c>
      <c r="J295" s="13">
        <f ca="1">IFERROR(__xludf.DUMMYFUNCTION("GOOGLEFINANCE(A295,""volumeavg"")"),1486232)</f>
        <v>1486232</v>
      </c>
      <c r="K295" s="15">
        <f ca="1">IFERROR(__xludf.DUMMYFUNCTION("GOOGLEFINANCE(A295,""high52"")"),256.53)</f>
        <v>256.52999999999997</v>
      </c>
      <c r="L295" s="15">
        <f ca="1">IFERROR(__xludf.DUMMYFUNCTION("GOOGLEFINANCE(A295,""low52"")"),160.15)</f>
        <v>160.15</v>
      </c>
      <c r="M295" s="7">
        <f t="shared" ca="1" si="0"/>
        <v>45379.717931597224</v>
      </c>
    </row>
    <row r="296" spans="1:13">
      <c r="A296" s="4" t="s">
        <v>307</v>
      </c>
      <c r="B296" s="5" t="str">
        <f ca="1">IFERROR(__xludf.DUMMYFUNCTION("GoogleFinance(A296, ""name"")"),"Masco Corp")</f>
        <v>Masco Corp</v>
      </c>
      <c r="C296" s="15">
        <f ca="1">IFERROR(__xludf.DUMMYFUNCTION("GoogleFinance(A296, ""price"")"),78.88)</f>
        <v>78.88</v>
      </c>
      <c r="D296" s="6">
        <f ca="1">IFERROR(__xludf.DUMMYFUNCTION("GoogleFinance(A296, ""eps"")"),4.02)</f>
        <v>4.0199999999999996</v>
      </c>
      <c r="E296" s="6">
        <f ca="1">IFERROR(__xludf.DUMMYFUNCTION("GOOGLEFINANCE(A296,""pe"")"),19.63)</f>
        <v>19.63</v>
      </c>
      <c r="F296" s="6">
        <f ca="1">IFERROR(__xludf.DUMMYFUNCTION("GoogleFinance(A296, ""beta"")"),1.26)</f>
        <v>1.26</v>
      </c>
      <c r="G296" s="13">
        <f ca="1">IFERROR(__xludf.DUMMYFUNCTION("GOOGLEFINANCE(A296,""shares"")"),219765000)</f>
        <v>219765000</v>
      </c>
      <c r="H296" s="10">
        <f ca="1">IFERROR(__xludf.DUMMYFUNCTION("GOOGLEFINANCE(A296,""marketcap"")"),17335054708)</f>
        <v>17335054708</v>
      </c>
      <c r="I296" s="13">
        <f ca="1">IFERROR(__xludf.DUMMYFUNCTION("GOOGLEFINANCE(A296,""volume"")"),1709362)</f>
        <v>1709362</v>
      </c>
      <c r="J296" s="13">
        <f ca="1">IFERROR(__xludf.DUMMYFUNCTION("GOOGLEFINANCE(A296,""volumeavg"")"),2247174)</f>
        <v>2247174</v>
      </c>
      <c r="K296" s="15">
        <f ca="1">IFERROR(__xludf.DUMMYFUNCTION("GOOGLEFINANCE(A296,""high52"")"),78.94)</f>
        <v>78.94</v>
      </c>
      <c r="L296" s="15">
        <f ca="1">IFERROR(__xludf.DUMMYFUNCTION("GOOGLEFINANCE(A296,""low52"")"),46.69)</f>
        <v>46.69</v>
      </c>
      <c r="M296" s="7">
        <f t="shared" ca="1" si="0"/>
        <v>45379.717931597224</v>
      </c>
    </row>
    <row r="297" spans="1:13">
      <c r="A297" s="4" t="s">
        <v>308</v>
      </c>
      <c r="B297" s="5" t="str">
        <f ca="1">IFERROR(__xludf.DUMMYFUNCTION("GoogleFinance(A297, ""name"")"),"McDonald's Corp")</f>
        <v>McDonald's Corp</v>
      </c>
      <c r="C297" s="15">
        <f ca="1">IFERROR(__xludf.DUMMYFUNCTION("GoogleFinance(A297, ""price"")"),281.95)</f>
        <v>281.95</v>
      </c>
      <c r="D297" s="6">
        <f ca="1">IFERROR(__xludf.DUMMYFUNCTION("GoogleFinance(A297, ""eps"")"),11.56)</f>
        <v>11.56</v>
      </c>
      <c r="E297" s="6">
        <f ca="1">IFERROR(__xludf.DUMMYFUNCTION("GOOGLEFINANCE(A297,""pe"")"),24.38)</f>
        <v>24.38</v>
      </c>
      <c r="F297" s="6">
        <f ca="1">IFERROR(__xludf.DUMMYFUNCTION("GoogleFinance(A297, ""beta"")"),0.72)</f>
        <v>0.72</v>
      </c>
      <c r="G297" s="13">
        <f ca="1">IFERROR(__xludf.DUMMYFUNCTION("GOOGLEFINANCE(A297,""shares"")"),722051000)</f>
        <v>722051000</v>
      </c>
      <c r="H297" s="10">
        <f ca="1">IFERROR(__xludf.DUMMYFUNCTION("GOOGLEFINANCE(A297,""marketcap"")"),203582457434)</f>
        <v>203582457434</v>
      </c>
      <c r="I297" s="13">
        <f ca="1">IFERROR(__xludf.DUMMYFUNCTION("GOOGLEFINANCE(A297,""volume"")"),3454038)</f>
        <v>3454038</v>
      </c>
      <c r="J297" s="13">
        <f ca="1">IFERROR(__xludf.DUMMYFUNCTION("GOOGLEFINANCE(A297,""volumeavg"")"),2979741)</f>
        <v>2979741</v>
      </c>
      <c r="K297" s="15">
        <f ca="1">IFERROR(__xludf.DUMMYFUNCTION("GOOGLEFINANCE(A297,""high52"")"),302.39)</f>
        <v>302.39</v>
      </c>
      <c r="L297" s="15">
        <f ca="1">IFERROR(__xludf.DUMMYFUNCTION("GOOGLEFINANCE(A297,""low52"")"),245.73)</f>
        <v>245.73</v>
      </c>
      <c r="M297" s="7">
        <f t="shared" ca="1" si="0"/>
        <v>45379.717931597224</v>
      </c>
    </row>
    <row r="298" spans="1:13">
      <c r="A298" s="4" t="s">
        <v>309</v>
      </c>
      <c r="B298" s="5" t="str">
        <f ca="1">IFERROR(__xludf.DUMMYFUNCTION("GoogleFinance(A298, ""name"")"),"Microchip Technology Inc")</f>
        <v>Microchip Technology Inc</v>
      </c>
      <c r="C298" s="15">
        <f ca="1">IFERROR(__xludf.DUMMYFUNCTION("GoogleFinance(A298, ""price"")"),89.71)</f>
        <v>89.71</v>
      </c>
      <c r="D298" s="6">
        <f ca="1">IFERROR(__xludf.DUMMYFUNCTION("GoogleFinance(A298, ""eps"")"),4.28)</f>
        <v>4.28</v>
      </c>
      <c r="E298" s="6">
        <f ca="1">IFERROR(__xludf.DUMMYFUNCTION("GOOGLEFINANCE(A298,""pe"")"),20.96)</f>
        <v>20.96</v>
      </c>
      <c r="F298" s="6">
        <f ca="1">IFERROR(__xludf.DUMMYFUNCTION("GoogleFinance(A298, ""beta"")"),1.65)</f>
        <v>1.65</v>
      </c>
      <c r="G298" s="13">
        <f ca="1">IFERROR(__xludf.DUMMYFUNCTION("GOOGLEFINANCE(A298,""shares"")"),540388000)</f>
        <v>540388000</v>
      </c>
      <c r="H298" s="10">
        <f ca="1">IFERROR(__xludf.DUMMYFUNCTION("GOOGLEFINANCE(A298,""marketcap"")"),48478198014)</f>
        <v>48478198014</v>
      </c>
      <c r="I298" s="13">
        <f ca="1">IFERROR(__xludf.DUMMYFUNCTION("GOOGLEFINANCE(A298,""volume"")"),3688779)</f>
        <v>3688779</v>
      </c>
      <c r="J298" s="13">
        <f ca="1">IFERROR(__xludf.DUMMYFUNCTION("GOOGLEFINANCE(A298,""volumeavg"")"),5729731)</f>
        <v>5729731</v>
      </c>
      <c r="K298" s="15">
        <f ca="1">IFERROR(__xludf.DUMMYFUNCTION("GOOGLEFINANCE(A298,""high52"")"),94.3)</f>
        <v>94.3</v>
      </c>
      <c r="L298" s="15">
        <f ca="1">IFERROR(__xludf.DUMMYFUNCTION("GOOGLEFINANCE(A298,""low52"")"),68.75)</f>
        <v>68.75</v>
      </c>
      <c r="M298" s="7">
        <f t="shared" ca="1" si="0"/>
        <v>45379.717931597224</v>
      </c>
    </row>
    <row r="299" spans="1:13">
      <c r="A299" s="4" t="s">
        <v>310</v>
      </c>
      <c r="B299" s="5" t="str">
        <f ca="1">IFERROR(__xludf.DUMMYFUNCTION("GoogleFinance(A299, ""name"")"),"McKesson Corp")</f>
        <v>McKesson Corp</v>
      </c>
      <c r="C299" s="15">
        <f ca="1">IFERROR(__xludf.DUMMYFUNCTION("GoogleFinance(A299, ""price"")"),536.85)</f>
        <v>536.85</v>
      </c>
      <c r="D299" s="6">
        <f ca="1">IFERROR(__xludf.DUMMYFUNCTION("GoogleFinance(A299, ""eps"")"),22.07)</f>
        <v>22.07</v>
      </c>
      <c r="E299" s="6">
        <f ca="1">IFERROR(__xludf.DUMMYFUNCTION("GOOGLEFINANCE(A299,""pe"")"),24.32)</f>
        <v>24.32</v>
      </c>
      <c r="F299" s="6">
        <f ca="1">IFERROR(__xludf.DUMMYFUNCTION("GoogleFinance(A299, ""beta"")"),0.44)</f>
        <v>0.44</v>
      </c>
      <c r="G299" s="13">
        <f ca="1">IFERROR(__xludf.DUMMYFUNCTION("GOOGLEFINANCE(A299,""shares"")"),131408000)</f>
        <v>131408000</v>
      </c>
      <c r="H299" s="10">
        <f ca="1">IFERROR(__xludf.DUMMYFUNCTION("GOOGLEFINANCE(A299,""marketcap"")"),70546488961)</f>
        <v>70546488961</v>
      </c>
      <c r="I299" s="13">
        <f ca="1">IFERROR(__xludf.DUMMYFUNCTION("GOOGLEFINANCE(A299,""volume"")"),751795)</f>
        <v>751795</v>
      </c>
      <c r="J299" s="13">
        <f ca="1">IFERROR(__xludf.DUMMYFUNCTION("GOOGLEFINANCE(A299,""volumeavg"")"),681229)</f>
        <v>681229</v>
      </c>
      <c r="K299" s="15">
        <f ca="1">IFERROR(__xludf.DUMMYFUNCTION("GOOGLEFINANCE(A299,""high52"")"),540)</f>
        <v>540</v>
      </c>
      <c r="L299" s="15">
        <f ca="1">IFERROR(__xludf.DUMMYFUNCTION("GOOGLEFINANCE(A299,""low52"")"),352.34)</f>
        <v>352.34</v>
      </c>
      <c r="M299" s="7">
        <f t="shared" ca="1" si="0"/>
        <v>45379.717931597224</v>
      </c>
    </row>
    <row r="300" spans="1:13">
      <c r="A300" s="4" t="s">
        <v>311</v>
      </c>
      <c r="B300" s="5" t="str">
        <f ca="1">IFERROR(__xludf.DUMMYFUNCTION("GoogleFinance(A300, ""name"")"),"Moody's Corp")</f>
        <v>Moody's Corp</v>
      </c>
      <c r="C300" s="15">
        <f ca="1">IFERROR(__xludf.DUMMYFUNCTION("GoogleFinance(A300, ""price"")"),393.03)</f>
        <v>393.03</v>
      </c>
      <c r="D300" s="6">
        <f ca="1">IFERROR(__xludf.DUMMYFUNCTION("GoogleFinance(A300, ""eps"")"),8.82)</f>
        <v>8.82</v>
      </c>
      <c r="E300" s="6">
        <f ca="1">IFERROR(__xludf.DUMMYFUNCTION("GOOGLEFINANCE(A300,""pe"")"),44.59)</f>
        <v>44.59</v>
      </c>
      <c r="F300" s="6">
        <f ca="1">IFERROR(__xludf.DUMMYFUNCTION("GoogleFinance(A300, ""beta"")"),1.27)</f>
        <v>1.27</v>
      </c>
      <c r="G300" s="13">
        <f ca="1">IFERROR(__xludf.DUMMYFUNCTION("GOOGLEFINANCE(A300,""shares"")"),182562000)</f>
        <v>182562000</v>
      </c>
      <c r="H300" s="10">
        <f ca="1">IFERROR(__xludf.DUMMYFUNCTION("GOOGLEFINANCE(A300,""marketcap"")"),71752185425)</f>
        <v>71752185425</v>
      </c>
      <c r="I300" s="13">
        <f ca="1">IFERROR(__xludf.DUMMYFUNCTION("GOOGLEFINANCE(A300,""volume"")"),566248)</f>
        <v>566248</v>
      </c>
      <c r="J300" s="13">
        <f ca="1">IFERROR(__xludf.DUMMYFUNCTION("GOOGLEFINANCE(A300,""volumeavg"")"),737176)</f>
        <v>737176</v>
      </c>
      <c r="K300" s="15">
        <f ca="1">IFERROR(__xludf.DUMMYFUNCTION("GOOGLEFINANCE(A300,""high52"")"),407.62)</f>
        <v>407.62</v>
      </c>
      <c r="L300" s="15">
        <f ca="1">IFERROR(__xludf.DUMMYFUNCTION("GOOGLEFINANCE(A300,""low52"")"),290.98)</f>
        <v>290.98</v>
      </c>
      <c r="M300" s="7">
        <f t="shared" ca="1" si="0"/>
        <v>45379.717931597224</v>
      </c>
    </row>
    <row r="301" spans="1:13">
      <c r="A301" s="4" t="s">
        <v>312</v>
      </c>
      <c r="B301" s="5" t="str">
        <f ca="1">IFERROR(__xludf.DUMMYFUNCTION("GoogleFinance(A301, ""name"")"),"MONDELEZ INTERNATIONAL INC Common Stock")</f>
        <v>MONDELEZ INTERNATIONAL INC Common Stock</v>
      </c>
      <c r="C301" s="15">
        <f ca="1">IFERROR(__xludf.DUMMYFUNCTION("GoogleFinance(A301, ""price"")"),70)</f>
        <v>70</v>
      </c>
      <c r="D301" s="6">
        <f ca="1">IFERROR(__xludf.DUMMYFUNCTION("GoogleFinance(A301, ""eps"")"),3.62)</f>
        <v>3.62</v>
      </c>
      <c r="E301" s="6">
        <f ca="1">IFERROR(__xludf.DUMMYFUNCTION("GOOGLEFINANCE(A301,""pe"")"),19.34)</f>
        <v>19.34</v>
      </c>
      <c r="F301" s="6">
        <f ca="1">IFERROR(__xludf.DUMMYFUNCTION("GoogleFinance(A301, ""beta"")"),0.57)</f>
        <v>0.56999999999999995</v>
      </c>
      <c r="G301" s="13">
        <f ca="1">IFERROR(__xludf.DUMMYFUNCTION("GOOGLEFINANCE(A301,""shares"")"),1346477000)</f>
        <v>1346477000</v>
      </c>
      <c r="H301" s="10">
        <f ca="1">IFERROR(__xludf.DUMMYFUNCTION("GOOGLEFINANCE(A301,""marketcap"")"),94253390000)</f>
        <v>94253390000</v>
      </c>
      <c r="I301" s="13">
        <f ca="1">IFERROR(__xludf.DUMMYFUNCTION("GOOGLEFINANCE(A301,""volume"")"),9931071)</f>
        <v>9931071</v>
      </c>
      <c r="J301" s="13">
        <f ca="1">IFERROR(__xludf.DUMMYFUNCTION("GOOGLEFINANCE(A301,""volumeavg"")"),7586757)</f>
        <v>7586757</v>
      </c>
      <c r="K301" s="15">
        <f ca="1">IFERROR(__xludf.DUMMYFUNCTION("GOOGLEFINANCE(A301,""high52"")"),78.59)</f>
        <v>78.59</v>
      </c>
      <c r="L301" s="15">
        <f ca="1">IFERROR(__xludf.DUMMYFUNCTION("GOOGLEFINANCE(A301,""low52"")"),60.75)</f>
        <v>60.75</v>
      </c>
      <c r="M301" s="7">
        <f t="shared" ca="1" si="0"/>
        <v>45379.717931597224</v>
      </c>
    </row>
    <row r="302" spans="1:13">
      <c r="A302" s="4" t="s">
        <v>313</v>
      </c>
      <c r="B302" s="5" t="str">
        <f ca="1">IFERROR(__xludf.DUMMYFUNCTION("GoogleFinance(A302, ""name"")"),"Medtronic PLC")</f>
        <v>Medtronic PLC</v>
      </c>
      <c r="C302" s="15">
        <f ca="1">IFERROR(__xludf.DUMMYFUNCTION("GoogleFinance(A302, ""price"")"),87.15)</f>
        <v>87.15</v>
      </c>
      <c r="D302" s="6">
        <f ca="1">IFERROR(__xludf.DUMMYFUNCTION("GoogleFinance(A302, ""eps"")"),3.15)</f>
        <v>3.15</v>
      </c>
      <c r="E302" s="6">
        <f ca="1">IFERROR(__xludf.DUMMYFUNCTION("GOOGLEFINANCE(A302,""pe"")"),27.63)</f>
        <v>27.63</v>
      </c>
      <c r="F302" s="6">
        <f ca="1">IFERROR(__xludf.DUMMYFUNCTION("GoogleFinance(A302, ""beta"")"),0.76)</f>
        <v>0.76</v>
      </c>
      <c r="G302" s="13">
        <f ca="1">IFERROR(__xludf.DUMMYFUNCTION("GOOGLEFINANCE(A302,""shares"")"),1327823000)</f>
        <v>1327823000</v>
      </c>
      <c r="H302" s="10">
        <f ca="1">IFERROR(__xludf.DUMMYFUNCTION("GOOGLEFINANCE(A302,""marketcap"")"),115719689326)</f>
        <v>115719689326</v>
      </c>
      <c r="I302" s="13">
        <f ca="1">IFERROR(__xludf.DUMMYFUNCTION("GOOGLEFINANCE(A302,""volume"")"),7579340)</f>
        <v>7579340</v>
      </c>
      <c r="J302" s="13">
        <f ca="1">IFERROR(__xludf.DUMMYFUNCTION("GOOGLEFINANCE(A302,""volumeavg"")"),6547074)</f>
        <v>6547074</v>
      </c>
      <c r="K302" s="15">
        <f ca="1">IFERROR(__xludf.DUMMYFUNCTION("GOOGLEFINANCE(A302,""high52"")"),92.02)</f>
        <v>92.02</v>
      </c>
      <c r="L302" s="15">
        <f ca="1">IFERROR(__xludf.DUMMYFUNCTION("GOOGLEFINANCE(A302,""low52"")"),68.84)</f>
        <v>68.84</v>
      </c>
      <c r="M302" s="7">
        <f t="shared" ca="1" si="0"/>
        <v>45379.717931597224</v>
      </c>
    </row>
    <row r="303" spans="1:13">
      <c r="A303" s="4" t="s">
        <v>314</v>
      </c>
      <c r="B303" s="5" t="str">
        <f ca="1">IFERROR(__xludf.DUMMYFUNCTION("GoogleFinance(A303, ""name"")"),"Metlife Inc")</f>
        <v>Metlife Inc</v>
      </c>
      <c r="C303" s="15">
        <f ca="1">IFERROR(__xludf.DUMMYFUNCTION("GoogleFinance(A303, ""price"")"),74.11)</f>
        <v>74.11</v>
      </c>
      <c r="D303" s="6">
        <f ca="1">IFERROR(__xludf.DUMMYFUNCTION("GoogleFinance(A303, ""eps"")"),1.81)</f>
        <v>1.81</v>
      </c>
      <c r="E303" s="6">
        <f ca="1">IFERROR(__xludf.DUMMYFUNCTION("GOOGLEFINANCE(A303,""pe"")"),40.94)</f>
        <v>40.94</v>
      </c>
      <c r="F303" s="6">
        <f ca="1">IFERROR(__xludf.DUMMYFUNCTION("GoogleFinance(A303, ""beta"")"),1.03)</f>
        <v>1.03</v>
      </c>
      <c r="G303" s="13">
        <f ca="1">IFERROR(__xludf.DUMMYFUNCTION("GOOGLEFINANCE(A303,""shares"")"),723020000)</f>
        <v>723020000</v>
      </c>
      <c r="H303" s="10">
        <f ca="1">IFERROR(__xludf.DUMMYFUNCTION("GOOGLEFINANCE(A303,""marketcap"")"),53583027463)</f>
        <v>53583027463</v>
      </c>
      <c r="I303" s="13">
        <f ca="1">IFERROR(__xludf.DUMMYFUNCTION("GOOGLEFINANCE(A303,""volume"")"),2591678)</f>
        <v>2591678</v>
      </c>
      <c r="J303" s="13">
        <f ca="1">IFERROR(__xludf.DUMMYFUNCTION("GOOGLEFINANCE(A303,""volumeavg"")"),3309399)</f>
        <v>3309399</v>
      </c>
      <c r="K303" s="15">
        <f ca="1">IFERROR(__xludf.DUMMYFUNCTION("GOOGLEFINANCE(A303,""high52"")"),74.4)</f>
        <v>74.400000000000006</v>
      </c>
      <c r="L303" s="15">
        <f ca="1">IFERROR(__xludf.DUMMYFUNCTION("GOOGLEFINANCE(A303,""low52"")"),48.95)</f>
        <v>48.95</v>
      </c>
      <c r="M303" s="7">
        <f t="shared" ca="1" si="0"/>
        <v>45379.717931597224</v>
      </c>
    </row>
    <row r="304" spans="1:13">
      <c r="A304" s="4" t="s">
        <v>315</v>
      </c>
      <c r="B304" s="5" t="str">
        <f ca="1">IFERROR(__xludf.DUMMYFUNCTION("GoogleFinance(A304, ""name"")"),"Meta Platforms Inc")</f>
        <v>Meta Platforms Inc</v>
      </c>
      <c r="C304" s="15">
        <f ca="1">IFERROR(__xludf.DUMMYFUNCTION("GoogleFinance(A304, ""price"")"),485.58)</f>
        <v>485.58</v>
      </c>
      <c r="D304" s="6">
        <f ca="1">IFERROR(__xludf.DUMMYFUNCTION("GoogleFinance(A304, ""eps"")"),15.31)</f>
        <v>15.31</v>
      </c>
      <c r="E304" s="6">
        <f ca="1">IFERROR(__xludf.DUMMYFUNCTION("GOOGLEFINANCE(A304,""pe"")"),31.73)</f>
        <v>31.73</v>
      </c>
      <c r="F304" s="6">
        <f ca="1">IFERROR(__xludf.DUMMYFUNCTION("GoogleFinance(A304, ""beta"")"),1.21)</f>
        <v>1.21</v>
      </c>
      <c r="G304" s="13">
        <f ca="1">IFERROR(__xludf.DUMMYFUNCTION("GOOGLEFINANCE(A304,""shares"")"),2200049000)</f>
        <v>2200049000</v>
      </c>
      <c r="H304" s="10">
        <f ca="1">IFERROR(__xludf.DUMMYFUNCTION("GOOGLEFINANCE(A304,""marketcap"")"),1237939560087)</f>
        <v>1237939560087</v>
      </c>
      <c r="I304" s="13">
        <f ca="1">IFERROR(__xludf.DUMMYFUNCTION("GOOGLEFINANCE(A304,""volume"")"),15207980)</f>
        <v>15207980</v>
      </c>
      <c r="J304" s="13">
        <f ca="1">IFERROR(__xludf.DUMMYFUNCTION("GOOGLEFINANCE(A304,""volumeavg"")"),15030445)</f>
        <v>15030445</v>
      </c>
      <c r="K304" s="15">
        <f ca="1">IFERROR(__xludf.DUMMYFUNCTION("GOOGLEFINANCE(A304,""high52"")"),523.57)</f>
        <v>523.57000000000005</v>
      </c>
      <c r="L304" s="15">
        <f ca="1">IFERROR(__xludf.DUMMYFUNCTION("GOOGLEFINANCE(A304,""low52"")"),202.54)</f>
        <v>202.54</v>
      </c>
      <c r="M304" s="7">
        <f t="shared" ca="1" si="0"/>
        <v>45379.717931597224</v>
      </c>
    </row>
    <row r="305" spans="1:13">
      <c r="A305" s="4" t="s">
        <v>316</v>
      </c>
      <c r="B305" s="5" t="str">
        <f ca="1">IFERROR(__xludf.DUMMYFUNCTION("GoogleFinance(A305, ""name"")"),"MGM Resorts International")</f>
        <v>MGM Resorts International</v>
      </c>
      <c r="C305" s="15">
        <f ca="1">IFERROR(__xludf.DUMMYFUNCTION("GoogleFinance(A305, ""price"")"),47.21)</f>
        <v>47.21</v>
      </c>
      <c r="D305" s="6">
        <f ca="1">IFERROR(__xludf.DUMMYFUNCTION("GoogleFinance(A305, ""eps"")"),3.19)</f>
        <v>3.19</v>
      </c>
      <c r="E305" s="6">
        <f ca="1">IFERROR(__xludf.DUMMYFUNCTION("GOOGLEFINANCE(A305,""pe"")"),14.8)</f>
        <v>14.8</v>
      </c>
      <c r="F305" s="6">
        <f ca="1">IFERROR(__xludf.DUMMYFUNCTION("GoogleFinance(A305, ""beta"")"),2.19)</f>
        <v>2.19</v>
      </c>
      <c r="G305" s="13">
        <f ca="1">IFERROR(__xludf.DUMMYFUNCTION("GOOGLEFINANCE(A305,""shares"")"),317016000)</f>
        <v>317016000</v>
      </c>
      <c r="H305" s="10">
        <f ca="1">IFERROR(__xludf.DUMMYFUNCTION("GOOGLEFINANCE(A305,""marketcap"")"),14966306185)</f>
        <v>14966306185</v>
      </c>
      <c r="I305" s="13">
        <f ca="1">IFERROR(__xludf.DUMMYFUNCTION("GOOGLEFINANCE(A305,""volume"")"),3079548)</f>
        <v>3079548</v>
      </c>
      <c r="J305" s="13">
        <f ca="1">IFERROR(__xludf.DUMMYFUNCTION("GOOGLEFINANCE(A305,""volumeavg"")"),3938688)</f>
        <v>3938688</v>
      </c>
      <c r="K305" s="15">
        <f ca="1">IFERROR(__xludf.DUMMYFUNCTION("GOOGLEFINANCE(A305,""high52"")"),51.35)</f>
        <v>51.35</v>
      </c>
      <c r="L305" s="15">
        <f ca="1">IFERROR(__xludf.DUMMYFUNCTION("GOOGLEFINANCE(A305,""low52"")"),34.12)</f>
        <v>34.119999999999997</v>
      </c>
      <c r="M305" s="7">
        <f t="shared" ca="1" si="0"/>
        <v>45379.717931597224</v>
      </c>
    </row>
    <row r="306" spans="1:13">
      <c r="A306" s="4" t="s">
        <v>317</v>
      </c>
      <c r="B306" s="5" t="str">
        <f ca="1">IFERROR(__xludf.DUMMYFUNCTION("GoogleFinance(A306, ""name"")"),"Mohawk Industries Inc")</f>
        <v>Mohawk Industries Inc</v>
      </c>
      <c r="C306" s="15">
        <f ca="1">IFERROR(__xludf.DUMMYFUNCTION("GoogleFinance(A306, ""price"")"),130.89)</f>
        <v>130.88999999999999</v>
      </c>
      <c r="D306" s="6">
        <f ca="1">IFERROR(__xludf.DUMMYFUNCTION("GoogleFinance(A306, ""eps"")"),-6.75)</f>
        <v>-6.75</v>
      </c>
      <c r="E306" s="6" t="str">
        <f ca="1">IFERROR(__xludf.DUMMYFUNCTION("GOOGLEFINANCE(A306,""pe"")"),"#N/A")</f>
        <v>#N/A</v>
      </c>
      <c r="F306" s="6">
        <f ca="1">IFERROR(__xludf.DUMMYFUNCTION("GoogleFinance(A306, ""beta"")"),1.33)</f>
        <v>1.33</v>
      </c>
      <c r="G306" s="13">
        <f ca="1">IFERROR(__xludf.DUMMYFUNCTION("GOOGLEFINANCE(A306,""shares"")"),63696000)</f>
        <v>63696000</v>
      </c>
      <c r="H306" s="10">
        <f ca="1">IFERROR(__xludf.DUMMYFUNCTION("GOOGLEFINANCE(A306,""marketcap"")"),8337226992)</f>
        <v>8337226992</v>
      </c>
      <c r="I306" s="13">
        <f ca="1">IFERROR(__xludf.DUMMYFUNCTION("GOOGLEFINANCE(A306,""volume"")"),449023)</f>
        <v>449023</v>
      </c>
      <c r="J306" s="13">
        <f ca="1">IFERROR(__xludf.DUMMYFUNCTION("GOOGLEFINANCE(A306,""volumeavg"")"),613766)</f>
        <v>613766</v>
      </c>
      <c r="K306" s="15">
        <f ca="1">IFERROR(__xludf.DUMMYFUNCTION("GOOGLEFINANCE(A306,""high52"")"),131.19)</f>
        <v>131.19</v>
      </c>
      <c r="L306" s="15">
        <f ca="1">IFERROR(__xludf.DUMMYFUNCTION("GOOGLEFINANCE(A306,""low52"")"),76.02)</f>
        <v>76.02</v>
      </c>
      <c r="M306" s="7">
        <f t="shared" ca="1" si="0"/>
        <v>45379.717931597224</v>
      </c>
    </row>
    <row r="307" spans="1:13">
      <c r="A307" s="4" t="s">
        <v>318</v>
      </c>
      <c r="B307" s="5" t="str">
        <f ca="1">IFERROR(__xludf.DUMMYFUNCTION("GoogleFinance(A307, ""name"")"),"McCormick &amp; Company Inc")</f>
        <v>McCormick &amp; Company Inc</v>
      </c>
      <c r="C307" s="15">
        <f ca="1">IFERROR(__xludf.DUMMYFUNCTION("GoogleFinance(A307, ""price"")"),76.81)</f>
        <v>76.81</v>
      </c>
      <c r="D307" s="6">
        <f ca="1">IFERROR(__xludf.DUMMYFUNCTION("GoogleFinance(A307, ""eps"")"),2.62)</f>
        <v>2.62</v>
      </c>
      <c r="E307" s="6">
        <f ca="1">IFERROR(__xludf.DUMMYFUNCTION("GOOGLEFINANCE(A307,""pe"")"),29.29)</f>
        <v>29.29</v>
      </c>
      <c r="F307" s="6">
        <f ca="1">IFERROR(__xludf.DUMMYFUNCTION("GoogleFinance(A307, ""beta"")"),0.74)</f>
        <v>0.74</v>
      </c>
      <c r="G307" s="13">
        <f ca="1">IFERROR(__xludf.DUMMYFUNCTION("GOOGLEFINANCE(A307,""shares"")"),251441000)</f>
        <v>251441000</v>
      </c>
      <c r="H307" s="10">
        <f ca="1">IFERROR(__xludf.DUMMYFUNCTION("GOOGLEFINANCE(A307,""marketcap"")"),20576315324)</f>
        <v>20576315324</v>
      </c>
      <c r="I307" s="13">
        <f ca="1">IFERROR(__xludf.DUMMYFUNCTION("GOOGLEFINANCE(A307,""volume"")"),2583936)</f>
        <v>2583936</v>
      </c>
      <c r="J307" s="13">
        <f ca="1">IFERROR(__xludf.DUMMYFUNCTION("GOOGLEFINANCE(A307,""volumeavg"")"),2181969)</f>
        <v>2181969</v>
      </c>
      <c r="K307" s="15">
        <f ca="1">IFERROR(__xludf.DUMMYFUNCTION("GOOGLEFINANCE(A307,""high52"")"),94.39)</f>
        <v>94.39</v>
      </c>
      <c r="L307" s="15">
        <f ca="1">IFERROR(__xludf.DUMMYFUNCTION("GOOGLEFINANCE(A307,""low52"")"),59.13)</f>
        <v>59.13</v>
      </c>
      <c r="M307" s="7">
        <f t="shared" ca="1" si="0"/>
        <v>45379.717931597224</v>
      </c>
    </row>
    <row r="308" spans="1:13">
      <c r="A308" s="4" t="s">
        <v>319</v>
      </c>
      <c r="B308" s="5" t="str">
        <f ca="1">IFERROR(__xludf.DUMMYFUNCTION("GoogleFinance(A308, ""name"")"),"Marketaxess Holdings Inc")</f>
        <v>Marketaxess Holdings Inc</v>
      </c>
      <c r="C308" s="15">
        <f ca="1">IFERROR(__xludf.DUMMYFUNCTION("GoogleFinance(A308, ""price"")"),219.25)</f>
        <v>219.25</v>
      </c>
      <c r="D308" s="6">
        <f ca="1">IFERROR(__xludf.DUMMYFUNCTION("GoogleFinance(A308, ""eps"")"),6.85)</f>
        <v>6.85</v>
      </c>
      <c r="E308" s="6">
        <f ca="1">IFERROR(__xludf.DUMMYFUNCTION("GOOGLEFINANCE(A308,""pe"")"),31.99)</f>
        <v>31.99</v>
      </c>
      <c r="F308" s="6">
        <f ca="1">IFERROR(__xludf.DUMMYFUNCTION("GoogleFinance(A308, ""beta"")"),0.98)</f>
        <v>0.98</v>
      </c>
      <c r="G308" s="13">
        <f ca="1">IFERROR(__xludf.DUMMYFUNCTION("GOOGLEFINANCE(A308,""shares"")"),37868000)</f>
        <v>37868000</v>
      </c>
      <c r="H308" s="10">
        <f ca="1">IFERROR(__xludf.DUMMYFUNCTION("GOOGLEFINANCE(A308,""marketcap"")"),8310767720)</f>
        <v>8310767720</v>
      </c>
      <c r="I308" s="13">
        <f ca="1">IFERROR(__xludf.DUMMYFUNCTION("GOOGLEFINANCE(A308,""volume"")"),258791)</f>
        <v>258791</v>
      </c>
      <c r="J308" s="13">
        <f ca="1">IFERROR(__xludf.DUMMYFUNCTION("GOOGLEFINANCE(A308,""volumeavg"")"),409046)</f>
        <v>409046</v>
      </c>
      <c r="K308" s="15">
        <f ca="1">IFERROR(__xludf.DUMMYFUNCTION("GOOGLEFINANCE(A308,""high52"")"),399.78)</f>
        <v>399.78</v>
      </c>
      <c r="L308" s="15">
        <f ca="1">IFERROR(__xludf.DUMMYFUNCTION("GOOGLEFINANCE(A308,""low52"")"),200.01)</f>
        <v>200.01</v>
      </c>
      <c r="M308" s="7">
        <f t="shared" ca="1" si="0"/>
        <v>45379.717931597224</v>
      </c>
    </row>
    <row r="309" spans="1:13">
      <c r="A309" s="4" t="s">
        <v>320</v>
      </c>
      <c r="B309" s="5" t="str">
        <f ca="1">IFERROR(__xludf.DUMMYFUNCTION("GoogleFinance(A309, ""name"")"),"Martin Marietta Materials Inc")</f>
        <v>Martin Marietta Materials Inc</v>
      </c>
      <c r="C309" s="15">
        <f ca="1">IFERROR(__xludf.DUMMYFUNCTION("GoogleFinance(A309, ""price"")"),613.94)</f>
        <v>613.94000000000005</v>
      </c>
      <c r="D309" s="6">
        <f ca="1">IFERROR(__xludf.DUMMYFUNCTION("GoogleFinance(A309, ""eps"")"),19.32)</f>
        <v>19.32</v>
      </c>
      <c r="E309" s="6">
        <f ca="1">IFERROR(__xludf.DUMMYFUNCTION("GOOGLEFINANCE(A309,""pe"")"),31.78)</f>
        <v>31.78</v>
      </c>
      <c r="F309" s="6">
        <f ca="1">IFERROR(__xludf.DUMMYFUNCTION("GoogleFinance(A309, ""beta"")"),0.95)</f>
        <v>0.95</v>
      </c>
      <c r="G309" s="13">
        <f ca="1">IFERROR(__xludf.DUMMYFUNCTION("GOOGLEFINANCE(A309,""shares"")"),61822000)</f>
        <v>61822000</v>
      </c>
      <c r="H309" s="10">
        <f ca="1">IFERROR(__xludf.DUMMYFUNCTION("GOOGLEFINANCE(A309,""marketcap"")"),37955287382)</f>
        <v>37955287382</v>
      </c>
      <c r="I309" s="13">
        <f ca="1">IFERROR(__xludf.DUMMYFUNCTION("GOOGLEFINANCE(A309,""volume"")"),309882)</f>
        <v>309882</v>
      </c>
      <c r="J309" s="13">
        <f ca="1">IFERROR(__xludf.DUMMYFUNCTION("GOOGLEFINANCE(A309,""volumeavg"")"),493726)</f>
        <v>493726</v>
      </c>
      <c r="K309" s="15">
        <f ca="1">IFERROR(__xludf.DUMMYFUNCTION("GOOGLEFINANCE(A309,""high52"")"),617.08)</f>
        <v>617.08000000000004</v>
      </c>
      <c r="L309" s="15">
        <f ca="1">IFERROR(__xludf.DUMMYFUNCTION("GOOGLEFINANCE(A309,""low52"")"),332.13)</f>
        <v>332.13</v>
      </c>
      <c r="M309" s="7">
        <f t="shared" ca="1" si="0"/>
        <v>45379.717931597224</v>
      </c>
    </row>
    <row r="310" spans="1:13">
      <c r="A310" s="4" t="s">
        <v>321</v>
      </c>
      <c r="B310" s="5" t="str">
        <f ca="1">IFERROR(__xludf.DUMMYFUNCTION("GoogleFinance(A310, ""name"")"),"Marsh &amp; McLennan Companies Inc")</f>
        <v>Marsh &amp; McLennan Companies Inc</v>
      </c>
      <c r="C310" s="15">
        <f ca="1">IFERROR(__xludf.DUMMYFUNCTION("GoogleFinance(A310, ""price"")"),205.98)</f>
        <v>205.98</v>
      </c>
      <c r="D310" s="6">
        <f ca="1">IFERROR(__xludf.DUMMYFUNCTION("GoogleFinance(A310, ""eps"")"),7.53)</f>
        <v>7.53</v>
      </c>
      <c r="E310" s="6">
        <f ca="1">IFERROR(__xludf.DUMMYFUNCTION("GOOGLEFINANCE(A310,""pe"")"),27.37)</f>
        <v>27.37</v>
      </c>
      <c r="F310" s="6">
        <f ca="1">IFERROR(__xludf.DUMMYFUNCTION("GoogleFinance(A310, ""beta"")"),0.9)</f>
        <v>0.9</v>
      </c>
      <c r="G310" s="13">
        <f ca="1">IFERROR(__xludf.DUMMYFUNCTION("GOOGLEFINANCE(A310,""shares"")"),491656000)</f>
        <v>491656000</v>
      </c>
      <c r="H310" s="10">
        <f ca="1">IFERROR(__xludf.DUMMYFUNCTION("GOOGLEFINANCE(A310,""marketcap"")"),101271300779)</f>
        <v>101271300779</v>
      </c>
      <c r="I310" s="13">
        <f ca="1">IFERROR(__xludf.DUMMYFUNCTION("GOOGLEFINANCE(A310,""volume"")"),1272216)</f>
        <v>1272216</v>
      </c>
      <c r="J310" s="13">
        <f ca="1">IFERROR(__xludf.DUMMYFUNCTION("GOOGLEFINANCE(A310,""volumeavg"")"),1496756)</f>
        <v>1496756</v>
      </c>
      <c r="K310" s="15">
        <f ca="1">IFERROR(__xludf.DUMMYFUNCTION("GOOGLEFINANCE(A310,""high52"")"),209.2)</f>
        <v>209.2</v>
      </c>
      <c r="L310" s="15">
        <f ca="1">IFERROR(__xludf.DUMMYFUNCTION("GOOGLEFINANCE(A310,""low52"")"),163.37)</f>
        <v>163.37</v>
      </c>
      <c r="M310" s="7">
        <f t="shared" ca="1" si="0"/>
        <v>45379.717931597224</v>
      </c>
    </row>
    <row r="311" spans="1:13">
      <c r="A311" s="4" t="s">
        <v>322</v>
      </c>
      <c r="B311" s="5" t="str">
        <f ca="1">IFERROR(__xludf.DUMMYFUNCTION("GoogleFinance(A311, ""name"")"),"3M Co")</f>
        <v>3M Co</v>
      </c>
      <c r="C311" s="15">
        <f ca="1">IFERROR(__xludf.DUMMYFUNCTION("GoogleFinance(A311, ""price"")"),106.07)</f>
        <v>106.07</v>
      </c>
      <c r="D311" s="6">
        <f ca="1">IFERROR(__xludf.DUMMYFUNCTION("GoogleFinance(A311, ""eps"")"),-12.63)</f>
        <v>-12.63</v>
      </c>
      <c r="E311" s="6" t="str">
        <f ca="1">IFERROR(__xludf.DUMMYFUNCTION("GOOGLEFINANCE(A311,""pe"")"),"#N/A")</f>
        <v>#N/A</v>
      </c>
      <c r="F311" s="6">
        <f ca="1">IFERROR(__xludf.DUMMYFUNCTION("GoogleFinance(A311, ""beta"")"),1)</f>
        <v>1</v>
      </c>
      <c r="G311" s="13">
        <f ca="1">IFERROR(__xludf.DUMMYFUNCTION("GOOGLEFINANCE(A311,""shares"")"),553361000)</f>
        <v>553361000</v>
      </c>
      <c r="H311" s="10">
        <f ca="1">IFERROR(__xludf.DUMMYFUNCTION("GOOGLEFINANCE(A311,""marketcap"")"),58694905638)</f>
        <v>58694905638</v>
      </c>
      <c r="I311" s="13">
        <f ca="1">IFERROR(__xludf.DUMMYFUNCTION("GOOGLEFINANCE(A311,""volume"")"),4385936)</f>
        <v>4385936</v>
      </c>
      <c r="J311" s="13">
        <f ca="1">IFERROR(__xludf.DUMMYFUNCTION("GOOGLEFINANCE(A311,""volumeavg"")"),5759576)</f>
        <v>5759576</v>
      </c>
      <c r="K311" s="15">
        <f ca="1">IFERROR(__xludf.DUMMYFUNCTION("GOOGLEFINANCE(A311,""high52"")"),113.14)</f>
        <v>113.14</v>
      </c>
      <c r="L311" s="15">
        <f ca="1">IFERROR(__xludf.DUMMYFUNCTION("GOOGLEFINANCE(A311,""low52"")"),85.35)</f>
        <v>85.35</v>
      </c>
      <c r="M311" s="7">
        <f t="shared" ca="1" si="0"/>
        <v>45379.717931597224</v>
      </c>
    </row>
    <row r="312" spans="1:13">
      <c r="A312" s="4" t="s">
        <v>323</v>
      </c>
      <c r="B312" s="5" t="str">
        <f ca="1">IFERROR(__xludf.DUMMYFUNCTION("GoogleFinance(A312, ""name"")"),"Monster Beverage Corp")</f>
        <v>Monster Beverage Corp</v>
      </c>
      <c r="C312" s="15">
        <f ca="1">IFERROR(__xludf.DUMMYFUNCTION("GoogleFinance(A312, ""price"")"),59.28)</f>
        <v>59.28</v>
      </c>
      <c r="D312" s="6">
        <f ca="1">IFERROR(__xludf.DUMMYFUNCTION("GoogleFinance(A312, ""eps"")"),1.54)</f>
        <v>1.54</v>
      </c>
      <c r="E312" s="6">
        <f ca="1">IFERROR(__xludf.DUMMYFUNCTION("GOOGLEFINANCE(A312,""pe"")"),38.45)</f>
        <v>38.450000000000003</v>
      </c>
      <c r="F312" s="6">
        <f ca="1">IFERROR(__xludf.DUMMYFUNCTION("GoogleFinance(A312, ""beta"")"),0.72)</f>
        <v>0.72</v>
      </c>
      <c r="G312" s="13">
        <f ca="1">IFERROR(__xludf.DUMMYFUNCTION("GOOGLEFINANCE(A312,""shares"")"),1040636000)</f>
        <v>1040636000</v>
      </c>
      <c r="H312" s="10">
        <f ca="1">IFERROR(__xludf.DUMMYFUNCTION("GOOGLEFINANCE(A312,""marketcap"")"),61688900809)</f>
        <v>61688900809</v>
      </c>
      <c r="I312" s="13">
        <f ca="1">IFERROR(__xludf.DUMMYFUNCTION("GOOGLEFINANCE(A312,""volume"")"),4469662)</f>
        <v>4469662</v>
      </c>
      <c r="J312" s="13">
        <f ca="1">IFERROR(__xludf.DUMMYFUNCTION("GOOGLEFINANCE(A312,""volumeavg"")"),5061175)</f>
        <v>5061175</v>
      </c>
      <c r="K312" s="15">
        <f ca="1">IFERROR(__xludf.DUMMYFUNCTION("GOOGLEFINANCE(A312,""high52"")"),61.23)</f>
        <v>61.23</v>
      </c>
      <c r="L312" s="15">
        <f ca="1">IFERROR(__xludf.DUMMYFUNCTION("GOOGLEFINANCE(A312,""low52"")"),47.13)</f>
        <v>47.13</v>
      </c>
      <c r="M312" s="7">
        <f t="shared" ca="1" si="0"/>
        <v>45379.717931597224</v>
      </c>
    </row>
    <row r="313" spans="1:13">
      <c r="A313" s="4" t="s">
        <v>324</v>
      </c>
      <c r="B313" s="5" t="str">
        <f ca="1">IFERROR(__xludf.DUMMYFUNCTION("GoogleFinance(A313, ""name"")"),"Altria Group Inc")</f>
        <v>Altria Group Inc</v>
      </c>
      <c r="C313" s="15">
        <f ca="1">IFERROR(__xludf.DUMMYFUNCTION("GoogleFinance(A313, ""price"")"),43.62)</f>
        <v>43.62</v>
      </c>
      <c r="D313" s="6">
        <f ca="1">IFERROR(__xludf.DUMMYFUNCTION("GoogleFinance(A313, ""eps"")"),4.57)</f>
        <v>4.57</v>
      </c>
      <c r="E313" s="6">
        <f ca="1">IFERROR(__xludf.DUMMYFUNCTION("GOOGLEFINANCE(A313,""pe"")"),9.55)</f>
        <v>9.5500000000000007</v>
      </c>
      <c r="F313" s="6">
        <f ca="1">IFERROR(__xludf.DUMMYFUNCTION("GoogleFinance(A313, ""beta"")"),0.65)</f>
        <v>0.65</v>
      </c>
      <c r="G313" s="13">
        <f ca="1">IFERROR(__xludf.DUMMYFUNCTION("GOOGLEFINANCE(A313,""shares"")"),1763462000)</f>
        <v>1763462000</v>
      </c>
      <c r="H313" s="10">
        <f ca="1">IFERROR(__xludf.DUMMYFUNCTION("GOOGLEFINANCE(A313,""marketcap"")"),78303394202)</f>
        <v>78303394202</v>
      </c>
      <c r="I313" s="13">
        <f ca="1">IFERROR(__xludf.DUMMYFUNCTION("GOOGLEFINANCE(A313,""volume"")"),9807412)</f>
        <v>9807412</v>
      </c>
      <c r="J313" s="13">
        <f ca="1">IFERROR(__xludf.DUMMYFUNCTION("GOOGLEFINANCE(A313,""volumeavg"")"),14321443)</f>
        <v>14321443</v>
      </c>
      <c r="K313" s="15">
        <f ca="1">IFERROR(__xludf.DUMMYFUNCTION("GOOGLEFINANCE(A313,""high52"")"),48.04)</f>
        <v>48.04</v>
      </c>
      <c r="L313" s="15">
        <f ca="1">IFERROR(__xludf.DUMMYFUNCTION("GOOGLEFINANCE(A313,""low52"")"),39.07)</f>
        <v>39.07</v>
      </c>
      <c r="M313" s="7">
        <f t="shared" ca="1" si="0"/>
        <v>45379.717931597224</v>
      </c>
    </row>
    <row r="314" spans="1:13">
      <c r="A314" s="4" t="s">
        <v>325</v>
      </c>
      <c r="B314" s="5" t="str">
        <f ca="1">IFERROR(__xludf.DUMMYFUNCTION("GoogleFinance(A314, ""name"")"),"Molina Healthcare Inc")</f>
        <v>Molina Healthcare Inc</v>
      </c>
      <c r="C314" s="15">
        <f ca="1">IFERROR(__xludf.DUMMYFUNCTION("GoogleFinance(A314, ""price"")"),410.83)</f>
        <v>410.83</v>
      </c>
      <c r="D314" s="6">
        <f ca="1">IFERROR(__xludf.DUMMYFUNCTION("GoogleFinance(A314, ""eps"")"),18.78)</f>
        <v>18.78</v>
      </c>
      <c r="E314" s="6">
        <f ca="1">IFERROR(__xludf.DUMMYFUNCTION("GOOGLEFINANCE(A314,""pe"")"),21.88)</f>
        <v>21.88</v>
      </c>
      <c r="F314" s="6">
        <f ca="1">IFERROR(__xludf.DUMMYFUNCTION("GoogleFinance(A314, ""beta"")"),0.47)</f>
        <v>0.47</v>
      </c>
      <c r="G314" s="13">
        <f ca="1">IFERROR(__xludf.DUMMYFUNCTION("GOOGLEFINANCE(A314,""shares"")"),58584000)</f>
        <v>58584000</v>
      </c>
      <c r="H314" s="10">
        <f ca="1">IFERROR(__xludf.DUMMYFUNCTION("GOOGLEFINANCE(A314,""marketcap"")"),24067981767)</f>
        <v>24067981767</v>
      </c>
      <c r="I314" s="13">
        <f ca="1">IFERROR(__xludf.DUMMYFUNCTION("GOOGLEFINANCE(A314,""volume"")"),338191)</f>
        <v>338191</v>
      </c>
      <c r="J314" s="13">
        <f ca="1">IFERROR(__xludf.DUMMYFUNCTION("GOOGLEFINANCE(A314,""volumeavg"")"),342611)</f>
        <v>342611</v>
      </c>
      <c r="K314" s="15">
        <f ca="1">IFERROR(__xludf.DUMMYFUNCTION("GOOGLEFINANCE(A314,""high52"")"),423.92)</f>
        <v>423.92</v>
      </c>
      <c r="L314" s="15">
        <f ca="1">IFERROR(__xludf.DUMMYFUNCTION("GOOGLEFINANCE(A314,""low52"")"),263.2)</f>
        <v>263.2</v>
      </c>
      <c r="M314" s="7">
        <f t="shared" ca="1" si="0"/>
        <v>45379.717931597224</v>
      </c>
    </row>
    <row r="315" spans="1:13">
      <c r="A315" s="4" t="s">
        <v>326</v>
      </c>
      <c r="B315" s="5" t="str">
        <f ca="1">IFERROR(__xludf.DUMMYFUNCTION("GoogleFinance(A315, ""name"")"),"Mosaic Co")</f>
        <v>Mosaic Co</v>
      </c>
      <c r="C315" s="15">
        <f ca="1">IFERROR(__xludf.DUMMYFUNCTION("GoogleFinance(A315, ""price"")"),32.46)</f>
        <v>32.46</v>
      </c>
      <c r="D315" s="6">
        <f ca="1">IFERROR(__xludf.DUMMYFUNCTION("GoogleFinance(A315, ""eps"")"),3.5)</f>
        <v>3.5</v>
      </c>
      <c r="E315" s="6">
        <f ca="1">IFERROR(__xludf.DUMMYFUNCTION("GOOGLEFINANCE(A315,""pe"")"),9.28)</f>
        <v>9.2799999999999994</v>
      </c>
      <c r="F315" s="6">
        <f ca="1">IFERROR(__xludf.DUMMYFUNCTION("GoogleFinance(A315, ""beta"")"),1.49)</f>
        <v>1.49</v>
      </c>
      <c r="G315" s="13">
        <f ca="1">IFERROR(__xludf.DUMMYFUNCTION("GOOGLEFINANCE(A315,""shares"")"),321689000)</f>
        <v>321689000</v>
      </c>
      <c r="H315" s="10">
        <f ca="1">IFERROR(__xludf.DUMMYFUNCTION("GOOGLEFINANCE(A315,""marketcap"")"),10442018153)</f>
        <v>10442018153</v>
      </c>
      <c r="I315" s="13">
        <f ca="1">IFERROR(__xludf.DUMMYFUNCTION("GOOGLEFINANCE(A315,""volume"")"),7077896)</f>
        <v>7077896</v>
      </c>
      <c r="J315" s="13">
        <f ca="1">IFERROR(__xludf.DUMMYFUNCTION("GOOGLEFINANCE(A315,""volumeavg"")"),5317015)</f>
        <v>5317015</v>
      </c>
      <c r="K315" s="15">
        <f ca="1">IFERROR(__xludf.DUMMYFUNCTION("GOOGLEFINANCE(A315,""high52"")"),48.92)</f>
        <v>48.92</v>
      </c>
      <c r="L315" s="15">
        <f ca="1">IFERROR(__xludf.DUMMYFUNCTION("GOOGLEFINANCE(A315,""low52"")"),29.25)</f>
        <v>29.25</v>
      </c>
      <c r="M315" s="7">
        <f t="shared" ca="1" si="0"/>
        <v>45379.717931597224</v>
      </c>
    </row>
    <row r="316" spans="1:13">
      <c r="A316" s="4" t="s">
        <v>327</v>
      </c>
      <c r="B316" s="5" t="str">
        <f ca="1">IFERROR(__xludf.DUMMYFUNCTION("GoogleFinance(A316, ""name"")"),"Marathon Petroleum Corp")</f>
        <v>Marathon Petroleum Corp</v>
      </c>
      <c r="C316" s="15">
        <f ca="1">IFERROR(__xludf.DUMMYFUNCTION("GoogleFinance(A316, ""price"")"),201.5)</f>
        <v>201.5</v>
      </c>
      <c r="D316" s="6">
        <f ca="1">IFERROR(__xludf.DUMMYFUNCTION("GoogleFinance(A316, ""eps"")"),23.76)</f>
        <v>23.76</v>
      </c>
      <c r="E316" s="6">
        <f ca="1">IFERROR(__xludf.DUMMYFUNCTION("GOOGLEFINANCE(A316,""pe"")"),8.48)</f>
        <v>8.48</v>
      </c>
      <c r="F316" s="6">
        <f ca="1">IFERROR(__xludf.DUMMYFUNCTION("GoogleFinance(A316, ""beta"")"),1.5)</f>
        <v>1.5</v>
      </c>
      <c r="G316" s="13">
        <f ca="1">IFERROR(__xludf.DUMMYFUNCTION("GOOGLEFINANCE(A316,""shares"")"),360336000)</f>
        <v>360336000</v>
      </c>
      <c r="H316" s="10">
        <f ca="1">IFERROR(__xludf.DUMMYFUNCTION("GOOGLEFINANCE(A316,""marketcap"")"),72607724150)</f>
        <v>72607724150</v>
      </c>
      <c r="I316" s="13">
        <f ca="1">IFERROR(__xludf.DUMMYFUNCTION("GOOGLEFINANCE(A316,""volume"")"),6064106)</f>
        <v>6064106</v>
      </c>
      <c r="J316" s="13">
        <f ca="1">IFERROR(__xludf.DUMMYFUNCTION("GOOGLEFINANCE(A316,""volumeavg"")"),2717374)</f>
        <v>2717374</v>
      </c>
      <c r="K316" s="15">
        <f ca="1">IFERROR(__xludf.DUMMYFUNCTION("GOOGLEFINANCE(A316,""high52"")"),203.02)</f>
        <v>203.02</v>
      </c>
      <c r="L316" s="15">
        <f ca="1">IFERROR(__xludf.DUMMYFUNCTION("GOOGLEFINANCE(A316,""low52"")"),104.32)</f>
        <v>104.32</v>
      </c>
      <c r="M316" s="7">
        <f t="shared" ca="1" si="0"/>
        <v>45379.717931597224</v>
      </c>
    </row>
    <row r="317" spans="1:13">
      <c r="A317" s="4" t="s">
        <v>328</v>
      </c>
      <c r="B317" s="5" t="str">
        <f ca="1">IFERROR(__xludf.DUMMYFUNCTION("GoogleFinance(A317, ""name"")"),"Monolithic Power Systems Inc")</f>
        <v>Monolithic Power Systems Inc</v>
      </c>
      <c r="C317" s="15">
        <f ca="1">IFERROR(__xludf.DUMMYFUNCTION("GoogleFinance(A317, ""price"")"),677.42)</f>
        <v>677.42</v>
      </c>
      <c r="D317" s="6">
        <f ca="1">IFERROR(__xludf.DUMMYFUNCTION("GoogleFinance(A317, ""eps"")"),8.76)</f>
        <v>8.76</v>
      </c>
      <c r="E317" s="6">
        <f ca="1">IFERROR(__xludf.DUMMYFUNCTION("GOOGLEFINANCE(A317,""pe"")"),77.31)</f>
        <v>77.31</v>
      </c>
      <c r="F317" s="6">
        <f ca="1">IFERROR(__xludf.DUMMYFUNCTION("GoogleFinance(A317, ""beta"")"),1.25)</f>
        <v>1.25</v>
      </c>
      <c r="G317" s="13">
        <f ca="1">IFERROR(__xludf.DUMMYFUNCTION("GOOGLEFINANCE(A317,""shares"")"),48661000)</f>
        <v>48661000</v>
      </c>
      <c r="H317" s="10">
        <f ca="1">IFERROR(__xludf.DUMMYFUNCTION("GOOGLEFINANCE(A317,""marketcap"")"),32963933788)</f>
        <v>32963933788</v>
      </c>
      <c r="I317" s="13">
        <f ca="1">IFERROR(__xludf.DUMMYFUNCTION("GOOGLEFINANCE(A317,""volume"")"),353649)</f>
        <v>353649</v>
      </c>
      <c r="J317" s="13">
        <f ca="1">IFERROR(__xludf.DUMMYFUNCTION("GOOGLEFINANCE(A317,""volumeavg"")"),550502)</f>
        <v>550502</v>
      </c>
      <c r="K317" s="15">
        <f ca="1">IFERROR(__xludf.DUMMYFUNCTION("GOOGLEFINANCE(A317,""high52"")"),778.15)</f>
        <v>778.15</v>
      </c>
      <c r="L317" s="15">
        <f ca="1">IFERROR(__xludf.DUMMYFUNCTION("GOOGLEFINANCE(A317,""low52"")"),383.19)</f>
        <v>383.19</v>
      </c>
      <c r="M317" s="7">
        <f t="shared" ca="1" si="0"/>
        <v>45379.717931597224</v>
      </c>
    </row>
    <row r="318" spans="1:13">
      <c r="A318" s="4" t="s">
        <v>329</v>
      </c>
      <c r="B318" s="5" t="str">
        <f ca="1">IFERROR(__xludf.DUMMYFUNCTION("GoogleFinance(A318, ""name"")"),"Merck &amp; Co Inc")</f>
        <v>Merck &amp; Co Inc</v>
      </c>
      <c r="C318" s="15">
        <f ca="1">IFERROR(__xludf.DUMMYFUNCTION("GoogleFinance(A318, ""price"")"),131.95)</f>
        <v>131.94999999999999</v>
      </c>
      <c r="D318" s="6">
        <f ca="1">IFERROR(__xludf.DUMMYFUNCTION("GoogleFinance(A318, ""eps"")"),0.14)</f>
        <v>0.14000000000000001</v>
      </c>
      <c r="E318" s="6">
        <f ca="1">IFERROR(__xludf.DUMMYFUNCTION("GOOGLEFINANCE(A318,""pe"")"),920.73)</f>
        <v>920.73</v>
      </c>
      <c r="F318" s="6">
        <f ca="1">IFERROR(__xludf.DUMMYFUNCTION("GoogleFinance(A318, ""beta"")"),0.37)</f>
        <v>0.37</v>
      </c>
      <c r="G318" s="13">
        <f ca="1">IFERROR(__xludf.DUMMYFUNCTION("GOOGLEFINANCE(A318,""shares"")"),2532644000)</f>
        <v>2532644000</v>
      </c>
      <c r="H318" s="10">
        <f ca="1">IFERROR(__xludf.DUMMYFUNCTION("GOOGLEFINANCE(A318,""marketcap"")"),334182236120)</f>
        <v>334182236120</v>
      </c>
      <c r="I318" s="13">
        <f ca="1">IFERROR(__xludf.DUMMYFUNCTION("GOOGLEFINANCE(A318,""volume"")"),10189382)</f>
        <v>10189382</v>
      </c>
      <c r="J318" s="13">
        <f ca="1">IFERROR(__xludf.DUMMYFUNCTION("GOOGLEFINANCE(A318,""volumeavg"")"),9526285)</f>
        <v>9526285</v>
      </c>
      <c r="K318" s="15">
        <f ca="1">IFERROR(__xludf.DUMMYFUNCTION("GOOGLEFINANCE(A318,""high52"")"),133.1)</f>
        <v>133.1</v>
      </c>
      <c r="L318" s="15">
        <f ca="1">IFERROR(__xludf.DUMMYFUNCTION("GOOGLEFINANCE(A318,""low52"")"),99.14)</f>
        <v>99.14</v>
      </c>
      <c r="M318" s="7">
        <f t="shared" ca="1" si="0"/>
        <v>45379.717931597224</v>
      </c>
    </row>
    <row r="319" spans="1:13">
      <c r="A319" s="4" t="s">
        <v>330</v>
      </c>
      <c r="B319" s="5" t="str">
        <f ca="1">IFERROR(__xludf.DUMMYFUNCTION("GoogleFinance(A319, ""name"")"),"Moderna Inc")</f>
        <v>Moderna Inc</v>
      </c>
      <c r="C319" s="15">
        <f ca="1">IFERROR(__xludf.DUMMYFUNCTION("GoogleFinance(A319, ""price"")"),106.56)</f>
        <v>106.56</v>
      </c>
      <c r="D319" s="6">
        <f ca="1">IFERROR(__xludf.DUMMYFUNCTION("GoogleFinance(A319, ""eps"")"),-12.34)</f>
        <v>-12.34</v>
      </c>
      <c r="E319" s="6" t="str">
        <f ca="1">IFERROR(__xludf.DUMMYFUNCTION("GOOGLEFINANCE(A319,""pe"")"),"#N/A")</f>
        <v>#N/A</v>
      </c>
      <c r="F319" s="6">
        <f ca="1">IFERROR(__xludf.DUMMYFUNCTION("GoogleFinance(A319, ""beta"")"),1.6)</f>
        <v>1.6</v>
      </c>
      <c r="G319" s="13">
        <f ca="1">IFERROR(__xludf.DUMMYFUNCTION("GOOGLEFINANCE(A319,""shares"")"),382880000)</f>
        <v>382880000</v>
      </c>
      <c r="H319" s="10">
        <f ca="1">IFERROR(__xludf.DUMMYFUNCTION("GOOGLEFINANCE(A319,""marketcap"")"),40799649241)</f>
        <v>40799649241</v>
      </c>
      <c r="I319" s="13">
        <f ca="1">IFERROR(__xludf.DUMMYFUNCTION("GOOGLEFINANCE(A319,""volume"")"),3959851)</f>
        <v>3959851</v>
      </c>
      <c r="J319" s="13">
        <f ca="1">IFERROR(__xludf.DUMMYFUNCTION("GOOGLEFINANCE(A319,""volumeavg"")"),4303029)</f>
        <v>4303029</v>
      </c>
      <c r="K319" s="15">
        <f ca="1">IFERROR(__xludf.DUMMYFUNCTION("GOOGLEFINANCE(A319,""high52"")"),163.24)</f>
        <v>163.24</v>
      </c>
      <c r="L319" s="15">
        <f ca="1">IFERROR(__xludf.DUMMYFUNCTION("GOOGLEFINANCE(A319,""low52"")"),62.55)</f>
        <v>62.55</v>
      </c>
      <c r="M319" s="7">
        <f t="shared" ca="1" si="0"/>
        <v>45379.717931597224</v>
      </c>
    </row>
    <row r="320" spans="1:13">
      <c r="A320" s="4" t="s">
        <v>331</v>
      </c>
      <c r="B320" s="5" t="str">
        <f ca="1">IFERROR(__xludf.DUMMYFUNCTION("GoogleFinance(A320, ""name"")"),"Marathon Oil Corp")</f>
        <v>Marathon Oil Corp</v>
      </c>
      <c r="C320" s="15">
        <f ca="1">IFERROR(__xludf.DUMMYFUNCTION("GoogleFinance(A320, ""price"")"),28.34)</f>
        <v>28.34</v>
      </c>
      <c r="D320" s="6">
        <f ca="1">IFERROR(__xludf.DUMMYFUNCTION("GoogleFinance(A320, ""eps"")"),2.56)</f>
        <v>2.56</v>
      </c>
      <c r="E320" s="6">
        <f ca="1">IFERROR(__xludf.DUMMYFUNCTION("GOOGLEFINANCE(A320,""pe"")"),11.09)</f>
        <v>11.09</v>
      </c>
      <c r="F320" s="6">
        <f ca="1">IFERROR(__xludf.DUMMYFUNCTION("GoogleFinance(A320, ""beta"")"),2.21)</f>
        <v>2.21</v>
      </c>
      <c r="G320" s="13">
        <f ca="1">IFERROR(__xludf.DUMMYFUNCTION("GOOGLEFINANCE(A320,""shares"")"),577197000)</f>
        <v>577197000</v>
      </c>
      <c r="H320" s="10">
        <f ca="1">IFERROR(__xludf.DUMMYFUNCTION("GOOGLEFINANCE(A320,""marketcap"")"),16357774404)</f>
        <v>16357774404</v>
      </c>
      <c r="I320" s="13">
        <f ca="1">IFERROR(__xludf.DUMMYFUNCTION("GOOGLEFINANCE(A320,""volume"")"),11670713)</f>
        <v>11670713</v>
      </c>
      <c r="J320" s="13">
        <f ca="1">IFERROR(__xludf.DUMMYFUNCTION("GOOGLEFINANCE(A320,""volumeavg"")"),10399496)</f>
        <v>10399496</v>
      </c>
      <c r="K320" s="15">
        <f ca="1">IFERROR(__xludf.DUMMYFUNCTION("GOOGLEFINANCE(A320,""high52"")"),29.56)</f>
        <v>29.56</v>
      </c>
      <c r="L320" s="15">
        <f ca="1">IFERROR(__xludf.DUMMYFUNCTION("GOOGLEFINANCE(A320,""low52"")"),21.63)</f>
        <v>21.63</v>
      </c>
      <c r="M320" s="7">
        <f t="shared" ca="1" si="0"/>
        <v>45379.717931597224</v>
      </c>
    </row>
    <row r="321" spans="1:13">
      <c r="A321" s="4" t="s">
        <v>332</v>
      </c>
      <c r="B321" s="5" t="str">
        <f ca="1">IFERROR(__xludf.DUMMYFUNCTION("GoogleFinance(A321, ""name"")"),"Morgan Stanley")</f>
        <v>Morgan Stanley</v>
      </c>
      <c r="C321" s="15">
        <f ca="1">IFERROR(__xludf.DUMMYFUNCTION("GoogleFinance(A321, ""price"")"),94.16)</f>
        <v>94.16</v>
      </c>
      <c r="D321" s="6">
        <f ca="1">IFERROR(__xludf.DUMMYFUNCTION("GoogleFinance(A321, ""eps"")"),5.18)</f>
        <v>5.18</v>
      </c>
      <c r="E321" s="6">
        <f ca="1">IFERROR(__xludf.DUMMYFUNCTION("GOOGLEFINANCE(A321,""pe"")"),18.17)</f>
        <v>18.170000000000002</v>
      </c>
      <c r="F321" s="6">
        <f ca="1">IFERROR(__xludf.DUMMYFUNCTION("GoogleFinance(A321, ""beta"")"),1.43)</f>
        <v>1.43</v>
      </c>
      <c r="G321" s="13">
        <f ca="1">IFERROR(__xludf.DUMMYFUNCTION("GOOGLEFINANCE(A321,""shares"")"),1635268000)</f>
        <v>1635268000</v>
      </c>
      <c r="H321" s="10">
        <f ca="1">IFERROR(__xludf.DUMMYFUNCTION("GOOGLEFINANCE(A321,""marketcap"")"),153976840868)</f>
        <v>153976840868</v>
      </c>
      <c r="I321" s="13">
        <f ca="1">IFERROR(__xludf.DUMMYFUNCTION("GOOGLEFINANCE(A321,""volume"")"),6707701)</f>
        <v>6707701</v>
      </c>
      <c r="J321" s="13">
        <f ca="1">IFERROR(__xludf.DUMMYFUNCTION("GOOGLEFINANCE(A321,""volumeavg"")"),8964798)</f>
        <v>8964798</v>
      </c>
      <c r="K321" s="15">
        <f ca="1">IFERROR(__xludf.DUMMYFUNCTION("GOOGLEFINANCE(A321,""high52"")"),95.57)</f>
        <v>95.57</v>
      </c>
      <c r="L321" s="15">
        <f ca="1">IFERROR(__xludf.DUMMYFUNCTION("GOOGLEFINANCE(A321,""low52"")"),69.42)</f>
        <v>69.42</v>
      </c>
      <c r="M321" s="7">
        <f t="shared" ca="1" si="0"/>
        <v>45379.717931597224</v>
      </c>
    </row>
    <row r="322" spans="1:13">
      <c r="A322" s="4" t="s">
        <v>333</v>
      </c>
      <c r="B322" s="5" t="str">
        <f ca="1">IFERROR(__xludf.DUMMYFUNCTION("GoogleFinance(A322, ""name"")"),"Msci Inc")</f>
        <v>Msci Inc</v>
      </c>
      <c r="C322" s="15">
        <f ca="1">IFERROR(__xludf.DUMMYFUNCTION("GoogleFinance(A322, ""price"")"),560.45)</f>
        <v>560.45000000000005</v>
      </c>
      <c r="D322" s="6">
        <f ca="1">IFERROR(__xludf.DUMMYFUNCTION("GoogleFinance(A322, ""eps"")"),14.39)</f>
        <v>14.39</v>
      </c>
      <c r="E322" s="6">
        <f ca="1">IFERROR(__xludf.DUMMYFUNCTION("GOOGLEFINANCE(A322,""pe"")"),38.96)</f>
        <v>38.96</v>
      </c>
      <c r="F322" s="6">
        <f ca="1">IFERROR(__xludf.DUMMYFUNCTION("GoogleFinance(A322, ""beta"")"),1.07)</f>
        <v>1.07</v>
      </c>
      <c r="G322" s="13">
        <f ca="1">IFERROR(__xludf.DUMMYFUNCTION("GOOGLEFINANCE(A322,""shares"")"),79091000)</f>
        <v>79091000</v>
      </c>
      <c r="H322" s="10">
        <f ca="1">IFERROR(__xludf.DUMMYFUNCTION("GOOGLEFINANCE(A322,""marketcap"")"),44400839564)</f>
        <v>44400839564</v>
      </c>
      <c r="I322" s="13">
        <f ca="1">IFERROR(__xludf.DUMMYFUNCTION("GOOGLEFINANCE(A322,""volume"")"),338976)</f>
        <v>338976</v>
      </c>
      <c r="J322" s="13">
        <f ca="1">IFERROR(__xludf.DUMMYFUNCTION("GOOGLEFINANCE(A322,""volumeavg"")"),405841)</f>
        <v>405841</v>
      </c>
      <c r="K322" s="15">
        <f ca="1">IFERROR(__xludf.DUMMYFUNCTION("GOOGLEFINANCE(A322,""high52"")"),617.39)</f>
        <v>617.39</v>
      </c>
      <c r="L322" s="15">
        <f ca="1">IFERROR(__xludf.DUMMYFUNCTION("GOOGLEFINANCE(A322,""low52"")"),451.55)</f>
        <v>451.55</v>
      </c>
      <c r="M322" s="7">
        <f t="shared" ca="1" si="0"/>
        <v>45379.717931597224</v>
      </c>
    </row>
    <row r="323" spans="1:13">
      <c r="A323" s="4" t="s">
        <v>334</v>
      </c>
      <c r="B323" s="5" t="str">
        <f ca="1">IFERROR(__xludf.DUMMYFUNCTION("GoogleFinance(A323, ""name"")"),"Microsoft Corp")</f>
        <v>Microsoft Corp</v>
      </c>
      <c r="C323" s="15">
        <f ca="1">IFERROR(__xludf.DUMMYFUNCTION("GoogleFinance(A323, ""price"")"),420.72)</f>
        <v>420.72</v>
      </c>
      <c r="D323" s="6">
        <f ca="1">IFERROR(__xludf.DUMMYFUNCTION("GoogleFinance(A323, ""eps"")"),11.06)</f>
        <v>11.06</v>
      </c>
      <c r="E323" s="6">
        <f ca="1">IFERROR(__xludf.DUMMYFUNCTION("GOOGLEFINANCE(A323,""pe"")"),38.05)</f>
        <v>38.049999999999997</v>
      </c>
      <c r="F323" s="6">
        <f ca="1">IFERROR(__xludf.DUMMYFUNCTION("GoogleFinance(A323, ""beta"")"),0.89)</f>
        <v>0.89</v>
      </c>
      <c r="G323" s="13">
        <f ca="1">IFERROR(__xludf.DUMMYFUNCTION("GOOGLEFINANCE(A323,""shares"")"),7430436000)</f>
        <v>7430436000</v>
      </c>
      <c r="H323" s="10">
        <f ca="1">IFERROR(__xludf.DUMMYFUNCTION("GOOGLEFINANCE(A323,""marketcap"")"),3126133042990)</f>
        <v>3126133042990</v>
      </c>
      <c r="I323" s="13">
        <f ca="1">IFERROR(__xludf.DUMMYFUNCTION("GOOGLEFINANCE(A323,""volume"")"),21867613)</f>
        <v>21867613</v>
      </c>
      <c r="J323" s="13">
        <f ca="1">IFERROR(__xludf.DUMMYFUNCTION("GOOGLEFINANCE(A323,""volumeavg"")"),21072431)</f>
        <v>21072431</v>
      </c>
      <c r="K323" s="15">
        <f ca="1">IFERROR(__xludf.DUMMYFUNCTION("GOOGLEFINANCE(A323,""high52"")"),430.82)</f>
        <v>430.82</v>
      </c>
      <c r="L323" s="15">
        <f ca="1">IFERROR(__xludf.DUMMYFUNCTION("GOOGLEFINANCE(A323,""low52"")"),275.37)</f>
        <v>275.37</v>
      </c>
      <c r="M323" s="7">
        <f t="shared" ca="1" si="0"/>
        <v>45379.717931597224</v>
      </c>
    </row>
    <row r="324" spans="1:13">
      <c r="A324" s="4" t="s">
        <v>335</v>
      </c>
      <c r="B324" s="5" t="str">
        <f ca="1">IFERROR(__xludf.DUMMYFUNCTION("GoogleFinance(A324, ""name"")"),"Motorola Solutions Inc")</f>
        <v>Motorola Solutions Inc</v>
      </c>
      <c r="C324" s="15">
        <f ca="1">IFERROR(__xludf.DUMMYFUNCTION("GoogleFinance(A324, ""price"")"),354.98)</f>
        <v>354.98</v>
      </c>
      <c r="D324" s="6">
        <f ca="1">IFERROR(__xludf.DUMMYFUNCTION("GoogleFinance(A324, ""eps"")"),9.93)</f>
        <v>9.93</v>
      </c>
      <c r="E324" s="6">
        <f ca="1">IFERROR(__xludf.DUMMYFUNCTION("GOOGLEFINANCE(A324,""pe"")"),35.75)</f>
        <v>35.75</v>
      </c>
      <c r="F324" s="6">
        <f ca="1">IFERROR(__xludf.DUMMYFUNCTION("GoogleFinance(A324, ""beta"")"),0.9)</f>
        <v>0.9</v>
      </c>
      <c r="G324" s="13">
        <f ca="1">IFERROR(__xludf.DUMMYFUNCTION("GOOGLEFINANCE(A324,""shares"")"),166133000)</f>
        <v>166133000</v>
      </c>
      <c r="H324" s="10">
        <f ca="1">IFERROR(__xludf.DUMMYFUNCTION("GOOGLEFINANCE(A324,""marketcap"")"),58973858667)</f>
        <v>58973858667</v>
      </c>
      <c r="I324" s="13">
        <f ca="1">IFERROR(__xludf.DUMMYFUNCTION("GOOGLEFINANCE(A324,""volume"")"),705394)</f>
        <v>705394</v>
      </c>
      <c r="J324" s="13">
        <f ca="1">IFERROR(__xludf.DUMMYFUNCTION("GOOGLEFINANCE(A324,""volumeavg"")"),604174)</f>
        <v>604174</v>
      </c>
      <c r="K324" s="15">
        <f ca="1">IFERROR(__xludf.DUMMYFUNCTION("GOOGLEFINANCE(A324,""high52"")"),355.39)</f>
        <v>355.39</v>
      </c>
      <c r="L324" s="15">
        <f ca="1">IFERROR(__xludf.DUMMYFUNCTION("GOOGLEFINANCE(A324,""low52"")"),269.65)</f>
        <v>269.64999999999998</v>
      </c>
      <c r="M324" s="7">
        <f t="shared" ca="1" si="0"/>
        <v>45379.717931597224</v>
      </c>
    </row>
    <row r="325" spans="1:13">
      <c r="A325" s="4" t="s">
        <v>336</v>
      </c>
      <c r="B325" s="5" t="str">
        <f ca="1">IFERROR(__xludf.DUMMYFUNCTION("GoogleFinance(A325, ""name"")"),"M&amp;t Bank Corp")</f>
        <v>M&amp;t Bank Corp</v>
      </c>
      <c r="C325" s="15">
        <f ca="1">IFERROR(__xludf.DUMMYFUNCTION("GoogleFinance(A325, ""price"")"),145.44)</f>
        <v>145.44</v>
      </c>
      <c r="D325" s="6">
        <f ca="1">IFERROR(__xludf.DUMMYFUNCTION("GoogleFinance(A325, ""eps"")"),15.78)</f>
        <v>15.78</v>
      </c>
      <c r="E325" s="6">
        <f ca="1">IFERROR(__xludf.DUMMYFUNCTION("GOOGLEFINANCE(A325,""pe"")"),9.21)</f>
        <v>9.2100000000000009</v>
      </c>
      <c r="F325" s="6">
        <f ca="1">IFERROR(__xludf.DUMMYFUNCTION("GoogleFinance(A325, ""beta"")"),0.79)</f>
        <v>0.79</v>
      </c>
      <c r="G325" s="13">
        <f ca="1">IFERROR(__xludf.DUMMYFUNCTION("GOOGLEFINANCE(A325,""shares"")"),166621000)</f>
        <v>166621000</v>
      </c>
      <c r="H325" s="10">
        <f ca="1">IFERROR(__xludf.DUMMYFUNCTION("GOOGLEFINANCE(A325,""marketcap"")"),24233838598)</f>
        <v>24233838598</v>
      </c>
      <c r="I325" s="13">
        <f ca="1">IFERROR(__xludf.DUMMYFUNCTION("GOOGLEFINANCE(A325,""volume"")"),820144)</f>
        <v>820144</v>
      </c>
      <c r="J325" s="13">
        <f ca="1">IFERROR(__xludf.DUMMYFUNCTION("GOOGLEFINANCE(A325,""volumeavg"")"),1133111)</f>
        <v>1133111</v>
      </c>
      <c r="K325" s="15">
        <f ca="1">IFERROR(__xludf.DUMMYFUNCTION("GOOGLEFINANCE(A325,""high52"")"),148.23)</f>
        <v>148.22999999999999</v>
      </c>
      <c r="L325" s="15">
        <f ca="1">IFERROR(__xludf.DUMMYFUNCTION("GOOGLEFINANCE(A325,""low52"")"),108.53)</f>
        <v>108.53</v>
      </c>
      <c r="M325" s="7">
        <f t="shared" ca="1" si="0"/>
        <v>45379.717931597224</v>
      </c>
    </row>
    <row r="326" spans="1:13">
      <c r="A326" s="4" t="s">
        <v>337</v>
      </c>
      <c r="B326" s="5" t="str">
        <f ca="1">IFERROR(__xludf.DUMMYFUNCTION("GoogleFinance(A326, ""name"")"),"Match Group Inc")</f>
        <v>Match Group Inc</v>
      </c>
      <c r="C326" s="15">
        <f ca="1">IFERROR(__xludf.DUMMYFUNCTION("GoogleFinance(A326, ""price"")"),36.28)</f>
        <v>36.28</v>
      </c>
      <c r="D326" s="6">
        <f ca="1">IFERROR(__xludf.DUMMYFUNCTION("GoogleFinance(A326, ""eps"")"),2.26)</f>
        <v>2.2599999999999998</v>
      </c>
      <c r="E326" s="6">
        <f ca="1">IFERROR(__xludf.DUMMYFUNCTION("GOOGLEFINANCE(A326,""pe"")"),16.02)</f>
        <v>16.02</v>
      </c>
      <c r="F326" s="6">
        <f ca="1">IFERROR(__xludf.DUMMYFUNCTION("GoogleFinance(A326, ""beta"")"),1.48)</f>
        <v>1.48</v>
      </c>
      <c r="G326" s="13">
        <f ca="1">IFERROR(__xludf.DUMMYFUNCTION("GOOGLEFINANCE(A326,""shares"")"),268012000)</f>
        <v>268012000</v>
      </c>
      <c r="H326" s="10">
        <f ca="1">IFERROR(__xludf.DUMMYFUNCTION("GOOGLEFINANCE(A326,""marketcap"")"),9723464148)</f>
        <v>9723464148</v>
      </c>
      <c r="I326" s="13">
        <f ca="1">IFERROR(__xludf.DUMMYFUNCTION("GOOGLEFINANCE(A326,""volume"")"),5687910)</f>
        <v>5687910</v>
      </c>
      <c r="J326" s="13">
        <f ca="1">IFERROR(__xludf.DUMMYFUNCTION("GOOGLEFINANCE(A326,""volumeavg"")"),6025426)</f>
        <v>6025426</v>
      </c>
      <c r="K326" s="15">
        <f ca="1">IFERROR(__xludf.DUMMYFUNCTION("GOOGLEFINANCE(A326,""high52"")"),49.24)</f>
        <v>49.24</v>
      </c>
      <c r="L326" s="15">
        <f ca="1">IFERROR(__xludf.DUMMYFUNCTION("GOOGLEFINANCE(A326,""low52"")"),27.85)</f>
        <v>27.85</v>
      </c>
      <c r="M326" s="7">
        <f t="shared" ca="1" si="0"/>
        <v>45379.717931597224</v>
      </c>
    </row>
    <row r="327" spans="1:13">
      <c r="A327" s="4" t="s">
        <v>338</v>
      </c>
      <c r="B327" s="5" t="str">
        <f ca="1">IFERROR(__xludf.DUMMYFUNCTION("GoogleFinance(A327, ""name"")"),"Mettler-Toledo International Inc")</f>
        <v>Mettler-Toledo International Inc</v>
      </c>
      <c r="C327" s="15">
        <f ca="1">IFERROR(__xludf.DUMMYFUNCTION("GoogleFinance(A327, ""price"")"),1331.29)</f>
        <v>1331.29</v>
      </c>
      <c r="D327" s="6">
        <f ca="1">IFERROR(__xludf.DUMMYFUNCTION("GoogleFinance(A327, ""eps"")"),35.9)</f>
        <v>35.9</v>
      </c>
      <c r="E327" s="6">
        <f ca="1">IFERROR(__xludf.DUMMYFUNCTION("GOOGLEFINANCE(A327,""pe"")"),37.08)</f>
        <v>37.08</v>
      </c>
      <c r="F327" s="6">
        <f ca="1">IFERROR(__xludf.DUMMYFUNCTION("GoogleFinance(A327, ""beta"")"),1.15)</f>
        <v>1.1499999999999999</v>
      </c>
      <c r="G327" s="13">
        <f ca="1">IFERROR(__xludf.DUMMYFUNCTION("GOOGLEFINANCE(A327,""shares"")"),21479000)</f>
        <v>21479000</v>
      </c>
      <c r="H327" s="10">
        <f ca="1">IFERROR(__xludf.DUMMYFUNCTION("GOOGLEFINANCE(A327,""marketcap"")"),28473551478)</f>
        <v>28473551478</v>
      </c>
      <c r="I327" s="13">
        <f ca="1">IFERROR(__xludf.DUMMYFUNCTION("GOOGLEFINANCE(A327,""volume"")"),94138)</f>
        <v>94138</v>
      </c>
      <c r="J327" s="13">
        <f ca="1">IFERROR(__xludf.DUMMYFUNCTION("GOOGLEFINANCE(A327,""volumeavg"")"),130929)</f>
        <v>130929</v>
      </c>
      <c r="K327" s="15">
        <f ca="1">IFERROR(__xludf.DUMMYFUNCTION("GOOGLEFINANCE(A327,""high52"")"),1615.97)</f>
        <v>1615.97</v>
      </c>
      <c r="L327" s="15">
        <f ca="1">IFERROR(__xludf.DUMMYFUNCTION("GOOGLEFINANCE(A327,""low52"")"),928.5)</f>
        <v>928.5</v>
      </c>
      <c r="M327" s="7">
        <f t="shared" ca="1" si="0"/>
        <v>45379.717931597224</v>
      </c>
    </row>
    <row r="328" spans="1:13">
      <c r="A328" s="4" t="s">
        <v>339</v>
      </c>
      <c r="B328" s="5" t="str">
        <f ca="1">IFERROR(__xludf.DUMMYFUNCTION("GoogleFinance(A328, ""name"")"),"Micron Technology Inc")</f>
        <v>Micron Technology Inc</v>
      </c>
      <c r="C328" s="15">
        <f ca="1">IFERROR(__xludf.DUMMYFUNCTION("GoogleFinance(A328, ""price"")"),117.89)</f>
        <v>117.89</v>
      </c>
      <c r="D328" s="6">
        <f ca="1">IFERROR(__xludf.DUMMYFUNCTION("GoogleFinance(A328, ""eps"")"),-3.45)</f>
        <v>-3.45</v>
      </c>
      <c r="E328" s="6" t="str">
        <f ca="1">IFERROR(__xludf.DUMMYFUNCTION("GOOGLEFINANCE(A328,""pe"")"),"#N/A")</f>
        <v>#N/A</v>
      </c>
      <c r="F328" s="6">
        <f ca="1">IFERROR(__xludf.DUMMYFUNCTION("GoogleFinance(A328, ""beta"")"),1.24)</f>
        <v>1.24</v>
      </c>
      <c r="G328" s="13">
        <f ca="1">IFERROR(__xludf.DUMMYFUNCTION("GOOGLEFINANCE(A328,""shares"")"),1107368000)</f>
        <v>1107368000</v>
      </c>
      <c r="H328" s="10">
        <f ca="1">IFERROR(__xludf.DUMMYFUNCTION("GOOGLEFINANCE(A328,""marketcap"")"),130547494954)</f>
        <v>130547494954</v>
      </c>
      <c r="I328" s="13">
        <f ca="1">IFERROR(__xludf.DUMMYFUNCTION("GOOGLEFINANCE(A328,""volume"")"),21030718)</f>
        <v>21030718</v>
      </c>
      <c r="J328" s="13">
        <f ca="1">IFERROR(__xludf.DUMMYFUNCTION("GOOGLEFINANCE(A328,""volumeavg"")"),24537078)</f>
        <v>24537078</v>
      </c>
      <c r="K328" s="15">
        <f ca="1">IFERROR(__xludf.DUMMYFUNCTION("GOOGLEFINANCE(A328,""high52"")"),122.46)</f>
        <v>122.46</v>
      </c>
      <c r="L328" s="15">
        <f ca="1">IFERROR(__xludf.DUMMYFUNCTION("GOOGLEFINANCE(A328,""low52"")"),56.01)</f>
        <v>56.01</v>
      </c>
      <c r="M328" s="7">
        <f t="shared" ca="1" si="0"/>
        <v>45379.717931597224</v>
      </c>
    </row>
    <row r="329" spans="1:13">
      <c r="A329" s="4" t="s">
        <v>340</v>
      </c>
      <c r="B329" s="5" t="str">
        <f ca="1">IFERROR(__xludf.DUMMYFUNCTION("GoogleFinance(A329, ""name"")"),"Norwegian Cruise Line Holdings Ltd")</f>
        <v>Norwegian Cruise Line Holdings Ltd</v>
      </c>
      <c r="C329" s="15">
        <f ca="1">IFERROR(__xludf.DUMMYFUNCTION("GoogleFinance(A329, ""price"")"),20.93)</f>
        <v>20.93</v>
      </c>
      <c r="D329" s="6">
        <f ca="1">IFERROR(__xludf.DUMMYFUNCTION("GoogleFinance(A329, ""eps"")"),0.39)</f>
        <v>0.39</v>
      </c>
      <c r="E329" s="6">
        <f ca="1">IFERROR(__xludf.DUMMYFUNCTION("GOOGLEFINANCE(A329,""pe"")"),53.83)</f>
        <v>53.83</v>
      </c>
      <c r="F329" s="6">
        <f ca="1">IFERROR(__xludf.DUMMYFUNCTION("GoogleFinance(A329, ""beta"")"),2.59)</f>
        <v>2.59</v>
      </c>
      <c r="G329" s="13">
        <f ca="1">IFERROR(__xludf.DUMMYFUNCTION("GOOGLEFINANCE(A329,""shares"")"),425657000)</f>
        <v>425657000</v>
      </c>
      <c r="H329" s="10">
        <f ca="1">IFERROR(__xludf.DUMMYFUNCTION("GOOGLEFINANCE(A329,""marketcap"")"),8909009511)</f>
        <v>8909009511</v>
      </c>
      <c r="I329" s="13">
        <f ca="1">IFERROR(__xludf.DUMMYFUNCTION("GOOGLEFINANCE(A329,""volume"")"),8713132)</f>
        <v>8713132</v>
      </c>
      <c r="J329" s="13">
        <f ca="1">IFERROR(__xludf.DUMMYFUNCTION("GOOGLEFINANCE(A329,""volumeavg"")"),12560608)</f>
        <v>12560608</v>
      </c>
      <c r="K329" s="15">
        <f ca="1">IFERROR(__xludf.DUMMYFUNCTION("GOOGLEFINANCE(A329,""high52"")"),22.75)</f>
        <v>22.75</v>
      </c>
      <c r="L329" s="15">
        <f ca="1">IFERROR(__xludf.DUMMYFUNCTION("GOOGLEFINANCE(A329,""low52"")"),12.41)</f>
        <v>12.41</v>
      </c>
      <c r="M329" s="7">
        <f t="shared" ca="1" si="0"/>
        <v>45379.717931597224</v>
      </c>
    </row>
    <row r="330" spans="1:13">
      <c r="A330" s="4" t="s">
        <v>341</v>
      </c>
      <c r="B330" s="5" t="str">
        <f ca="1">IFERROR(__xludf.DUMMYFUNCTION("GoogleFinance(A330, ""name"")"),"Nasdaq Inc")</f>
        <v>Nasdaq Inc</v>
      </c>
      <c r="C330" s="15">
        <f ca="1">IFERROR(__xludf.DUMMYFUNCTION("GoogleFinance(A330, ""price"")"),63.1)</f>
        <v>63.1</v>
      </c>
      <c r="D330" s="6">
        <f ca="1">IFERROR(__xludf.DUMMYFUNCTION("GoogleFinance(A330, ""eps"")"),2.08)</f>
        <v>2.08</v>
      </c>
      <c r="E330" s="6">
        <f ca="1">IFERROR(__xludf.DUMMYFUNCTION("GOOGLEFINANCE(A330,""pe"")"),30.29)</f>
        <v>30.29</v>
      </c>
      <c r="F330" s="6">
        <f ca="1">IFERROR(__xludf.DUMMYFUNCTION("GoogleFinance(A330, ""beta"")"),0.92)</f>
        <v>0.92</v>
      </c>
      <c r="G330" s="13">
        <f ca="1">IFERROR(__xludf.DUMMYFUNCTION("GOOGLEFINANCE(A330,""shares"")"),575759000)</f>
        <v>575759000</v>
      </c>
      <c r="H330" s="10">
        <f ca="1">IFERROR(__xludf.DUMMYFUNCTION("GOOGLEFINANCE(A330,""marketcap"")"),36330360471)</f>
        <v>36330360471</v>
      </c>
      <c r="I330" s="13">
        <f ca="1">IFERROR(__xludf.DUMMYFUNCTION("GOOGLEFINANCE(A330,""volume"")"),2791715)</f>
        <v>2791715</v>
      </c>
      <c r="J330" s="13">
        <f ca="1">IFERROR(__xludf.DUMMYFUNCTION("GOOGLEFINANCE(A330,""volumeavg"")"),4039957)</f>
        <v>4039957</v>
      </c>
      <c r="K330" s="15">
        <f ca="1">IFERROR(__xludf.DUMMYFUNCTION("GOOGLEFINANCE(A330,""high52"")"),63.52)</f>
        <v>63.52</v>
      </c>
      <c r="L330" s="15">
        <f ca="1">IFERROR(__xludf.DUMMYFUNCTION("GOOGLEFINANCE(A330,""low52"")"),46.88)</f>
        <v>46.88</v>
      </c>
      <c r="M330" s="7">
        <f t="shared" ca="1" si="0"/>
        <v>45379.717931597224</v>
      </c>
    </row>
    <row r="331" spans="1:13">
      <c r="A331" s="4" t="s">
        <v>342</v>
      </c>
      <c r="B331" s="5" t="str">
        <f ca="1">IFERROR(__xludf.DUMMYFUNCTION("GoogleFinance(A331, ""name"")"),"Nordson Corp")</f>
        <v>Nordson Corp</v>
      </c>
      <c r="C331" s="15">
        <f ca="1">IFERROR(__xludf.DUMMYFUNCTION("GoogleFinance(A331, ""price"")"),274.54)</f>
        <v>274.54000000000002</v>
      </c>
      <c r="D331" s="6">
        <f ca="1">IFERROR(__xludf.DUMMYFUNCTION("GoogleFinance(A331, ""eps"")"),8.56)</f>
        <v>8.56</v>
      </c>
      <c r="E331" s="6">
        <f ca="1">IFERROR(__xludf.DUMMYFUNCTION("GOOGLEFINANCE(A331,""pe"")"),32.08)</f>
        <v>32.08</v>
      </c>
      <c r="F331" s="6">
        <f ca="1">IFERROR(__xludf.DUMMYFUNCTION("GoogleFinance(A331, ""beta"")"),1)</f>
        <v>1</v>
      </c>
      <c r="G331" s="13">
        <f ca="1">IFERROR(__xludf.DUMMYFUNCTION("GOOGLEFINANCE(A331,""shares"")"),57192000)</f>
        <v>57192000</v>
      </c>
      <c r="H331" s="10">
        <f ca="1">IFERROR(__xludf.DUMMYFUNCTION("GOOGLEFINANCE(A331,""marketcap"")"),15701552567)</f>
        <v>15701552567</v>
      </c>
      <c r="I331" s="13">
        <f ca="1">IFERROR(__xludf.DUMMYFUNCTION("GOOGLEFINANCE(A331,""volume"")"),232207)</f>
        <v>232207</v>
      </c>
      <c r="J331" s="13">
        <f ca="1">IFERROR(__xludf.DUMMYFUNCTION("GOOGLEFINANCE(A331,""volumeavg"")"),231109)</f>
        <v>231109</v>
      </c>
      <c r="K331" s="15">
        <f ca="1">IFERROR(__xludf.DUMMYFUNCTION("GOOGLEFINANCE(A331,""high52"")"),276.09)</f>
        <v>276.08999999999997</v>
      </c>
      <c r="L331" s="15">
        <f ca="1">IFERROR(__xludf.DUMMYFUNCTION("GOOGLEFINANCE(A331,""low52"")"),208.77)</f>
        <v>208.77</v>
      </c>
      <c r="M331" s="7">
        <f t="shared" ca="1" si="0"/>
        <v>45379.717931597224</v>
      </c>
    </row>
    <row r="332" spans="1:13">
      <c r="A332" s="4" t="s">
        <v>343</v>
      </c>
      <c r="B332" s="5" t="str">
        <f ca="1">IFERROR(__xludf.DUMMYFUNCTION("GoogleFinance(A332, ""name"")"),"NextEra Energy Inc")</f>
        <v>NextEra Energy Inc</v>
      </c>
      <c r="C332" s="15">
        <f ca="1">IFERROR(__xludf.DUMMYFUNCTION("GoogleFinance(A332, ""price"")"),63.91)</f>
        <v>63.91</v>
      </c>
      <c r="D332" s="6">
        <f ca="1">IFERROR(__xludf.DUMMYFUNCTION("GoogleFinance(A332, ""eps"")"),3.6)</f>
        <v>3.6</v>
      </c>
      <c r="E332" s="6">
        <f ca="1">IFERROR(__xludf.DUMMYFUNCTION("GOOGLEFINANCE(A332,""pe"")"),17.75)</f>
        <v>17.75</v>
      </c>
      <c r="F332" s="6">
        <f ca="1">IFERROR(__xludf.DUMMYFUNCTION("GoogleFinance(A332, ""beta"")"),0.49)</f>
        <v>0.49</v>
      </c>
      <c r="G332" s="13">
        <f ca="1">IFERROR(__xludf.DUMMYFUNCTION("GOOGLEFINANCE(A332,""shares"")"),2052429000)</f>
        <v>2052429000</v>
      </c>
      <c r="H332" s="10">
        <f ca="1">IFERROR(__xludf.DUMMYFUNCTION("GOOGLEFINANCE(A332,""marketcap"")"),131170737076)</f>
        <v>131170737076</v>
      </c>
      <c r="I332" s="13">
        <f ca="1">IFERROR(__xludf.DUMMYFUNCTION("GOOGLEFINANCE(A332,""volume"")"),12830783)</f>
        <v>12830783</v>
      </c>
      <c r="J332" s="13">
        <f ca="1">IFERROR(__xludf.DUMMYFUNCTION("GOOGLEFINANCE(A332,""volumeavg"")"),13454362)</f>
        <v>13454362</v>
      </c>
      <c r="K332" s="15">
        <f ca="1">IFERROR(__xludf.DUMMYFUNCTION("GOOGLEFINANCE(A332,""high52"")"),79.78)</f>
        <v>79.78</v>
      </c>
      <c r="L332" s="15">
        <f ca="1">IFERROR(__xludf.DUMMYFUNCTION("GOOGLEFINANCE(A332,""low52"")"),47.15)</f>
        <v>47.15</v>
      </c>
      <c r="M332" s="7">
        <f t="shared" ca="1" si="0"/>
        <v>45379.717931597224</v>
      </c>
    </row>
    <row r="333" spans="1:13">
      <c r="A333" s="4" t="s">
        <v>344</v>
      </c>
      <c r="B333" s="5" t="str">
        <f ca="1">IFERROR(__xludf.DUMMYFUNCTION("GoogleFinance(A333, ""name"")"),"Newmont Corporation")</f>
        <v>Newmont Corporation</v>
      </c>
      <c r="C333" s="15">
        <f ca="1">IFERROR(__xludf.DUMMYFUNCTION("GoogleFinance(A333, ""price"")"),35.84)</f>
        <v>35.840000000000003</v>
      </c>
      <c r="D333" s="6">
        <f ca="1">IFERROR(__xludf.DUMMYFUNCTION("GoogleFinance(A333, ""eps"")"),-3)</f>
        <v>-3</v>
      </c>
      <c r="E333" s="6" t="str">
        <f ca="1">IFERROR(__xludf.DUMMYFUNCTION("GOOGLEFINANCE(A333,""pe"")"),"#N/A")</f>
        <v>#N/A</v>
      </c>
      <c r="F333" s="6">
        <f ca="1">IFERROR(__xludf.DUMMYFUNCTION("GoogleFinance(A333, ""beta"")"),0.49)</f>
        <v>0.49</v>
      </c>
      <c r="G333" s="13">
        <f ca="1">IFERROR(__xludf.DUMMYFUNCTION("GOOGLEFINANCE(A333,""shares"")"),1152787000)</f>
        <v>1152787000</v>
      </c>
      <c r="H333" s="10">
        <f ca="1">IFERROR(__xludf.DUMMYFUNCTION("GOOGLEFINANCE(A333,""marketcap"")"),41315850415)</f>
        <v>41315850415</v>
      </c>
      <c r="I333" s="13">
        <f ca="1">IFERROR(__xludf.DUMMYFUNCTION("GOOGLEFINANCE(A333,""volume"")"),14873506)</f>
        <v>14873506</v>
      </c>
      <c r="J333" s="13">
        <f ca="1">IFERROR(__xludf.DUMMYFUNCTION("GOOGLEFINANCE(A333,""volumeavg"")"),16286727)</f>
        <v>16286727</v>
      </c>
      <c r="K333" s="15">
        <f ca="1">IFERROR(__xludf.DUMMYFUNCTION("GOOGLEFINANCE(A333,""high52"")"),52.76)</f>
        <v>52.76</v>
      </c>
      <c r="L333" s="15">
        <f ca="1">IFERROR(__xludf.DUMMYFUNCTION("GOOGLEFINANCE(A333,""low52"")"),29.42)</f>
        <v>29.42</v>
      </c>
      <c r="M333" s="7">
        <f t="shared" ca="1" si="0"/>
        <v>45379.717931597224</v>
      </c>
    </row>
    <row r="334" spans="1:13">
      <c r="A334" s="4" t="s">
        <v>345</v>
      </c>
      <c r="B334" s="5" t="str">
        <f ca="1">IFERROR(__xludf.DUMMYFUNCTION("GoogleFinance(A334, ""name"")"),"Netflix Inc")</f>
        <v>Netflix Inc</v>
      </c>
      <c r="C334" s="15">
        <f ca="1">IFERROR(__xludf.DUMMYFUNCTION("GoogleFinance(A334, ""price"")"),607.33)</f>
        <v>607.33000000000004</v>
      </c>
      <c r="D334" s="6">
        <f ca="1">IFERROR(__xludf.DUMMYFUNCTION("GoogleFinance(A334, ""eps"")"),12.03)</f>
        <v>12.03</v>
      </c>
      <c r="E334" s="6">
        <f ca="1">IFERROR(__xludf.DUMMYFUNCTION("GOOGLEFINANCE(A334,""pe"")"),50.48)</f>
        <v>50.48</v>
      </c>
      <c r="F334" s="6">
        <f ca="1">IFERROR(__xludf.DUMMYFUNCTION("GoogleFinance(A334, ""beta"")"),1.22)</f>
        <v>1.22</v>
      </c>
      <c r="G334" s="13">
        <f ca="1">IFERROR(__xludf.DUMMYFUNCTION("GOOGLEFINANCE(A334,""shares"")"),432760000)</f>
        <v>432760000</v>
      </c>
      <c r="H334" s="10">
        <f ca="1">IFERROR(__xludf.DUMMYFUNCTION("GOOGLEFINANCE(A334,""marketcap"")"),262827895263)</f>
        <v>262827895263</v>
      </c>
      <c r="I334" s="13">
        <f ca="1">IFERROR(__xludf.DUMMYFUNCTION("GOOGLEFINANCE(A334,""volume"")"),3708444)</f>
        <v>3708444</v>
      </c>
      <c r="J334" s="13">
        <f ca="1">IFERROR(__xludf.DUMMYFUNCTION("GOOGLEFINANCE(A334,""volumeavg"")"),3122418)</f>
        <v>3122418</v>
      </c>
      <c r="K334" s="15">
        <f ca="1">IFERROR(__xludf.DUMMYFUNCTION("GOOGLEFINANCE(A334,""high52"")"),634.39)</f>
        <v>634.39</v>
      </c>
      <c r="L334" s="15">
        <f ca="1">IFERROR(__xludf.DUMMYFUNCTION("GOOGLEFINANCE(A334,""low52"")"),315.62)</f>
        <v>315.62</v>
      </c>
      <c r="M334" s="7">
        <f t="shared" ca="1" si="0"/>
        <v>45379.717931597224</v>
      </c>
    </row>
    <row r="335" spans="1:13">
      <c r="A335" s="4" t="s">
        <v>346</v>
      </c>
      <c r="B335" s="5" t="str">
        <f ca="1">IFERROR(__xludf.DUMMYFUNCTION("GoogleFinance(A335, ""name"")"),"NiSource Inc")</f>
        <v>NiSource Inc</v>
      </c>
      <c r="C335" s="15">
        <f ca="1">IFERROR(__xludf.DUMMYFUNCTION("GoogleFinance(A335, ""price"")"),27.66)</f>
        <v>27.66</v>
      </c>
      <c r="D335" s="6">
        <f ca="1">IFERROR(__xludf.DUMMYFUNCTION("GoogleFinance(A335, ""eps"")"),1.48)</f>
        <v>1.48</v>
      </c>
      <c r="E335" s="6">
        <f ca="1">IFERROR(__xludf.DUMMYFUNCTION("GOOGLEFINANCE(A335,""pe"")"),18.7)</f>
        <v>18.7</v>
      </c>
      <c r="F335" s="6">
        <f ca="1">IFERROR(__xludf.DUMMYFUNCTION("GoogleFinance(A335, ""beta"")"),0.49)</f>
        <v>0.49</v>
      </c>
      <c r="G335" s="13">
        <f ca="1">IFERROR(__xludf.DUMMYFUNCTION("GOOGLEFINANCE(A335,""shares"")"),447525000)</f>
        <v>447525000</v>
      </c>
      <c r="H335" s="10">
        <f ca="1">IFERROR(__xludf.DUMMYFUNCTION("GOOGLEFINANCE(A335,""marketcap"")"),12378522069)</f>
        <v>12378522069</v>
      </c>
      <c r="I335" s="13">
        <f ca="1">IFERROR(__xludf.DUMMYFUNCTION("GOOGLEFINANCE(A335,""volume"")"),4883348)</f>
        <v>4883348</v>
      </c>
      <c r="J335" s="13">
        <f ca="1">IFERROR(__xludf.DUMMYFUNCTION("GOOGLEFINANCE(A335,""volumeavg"")"),4953710)</f>
        <v>4953710</v>
      </c>
      <c r="K335" s="15">
        <f ca="1">IFERROR(__xludf.DUMMYFUNCTION("GOOGLEFINANCE(A335,""high52"")"),28.95)</f>
        <v>28.95</v>
      </c>
      <c r="L335" s="15">
        <f ca="1">IFERROR(__xludf.DUMMYFUNCTION("GOOGLEFINANCE(A335,""low52"")"),22.86)</f>
        <v>22.86</v>
      </c>
      <c r="M335" s="7">
        <f t="shared" ca="1" si="0"/>
        <v>45379.717931597224</v>
      </c>
    </row>
    <row r="336" spans="1:13">
      <c r="A336" s="4" t="s">
        <v>347</v>
      </c>
      <c r="B336" s="5" t="str">
        <f ca="1">IFERROR(__xludf.DUMMYFUNCTION("GoogleFinance(A336, ""name"")"),"Nike Inc")</f>
        <v>Nike Inc</v>
      </c>
      <c r="C336" s="15">
        <f ca="1">IFERROR(__xludf.DUMMYFUNCTION("GoogleFinance(A336, ""price"")"),93.98)</f>
        <v>93.98</v>
      </c>
      <c r="D336" s="6">
        <f ca="1">IFERROR(__xludf.DUMMYFUNCTION("GoogleFinance(A336, ""eps"")"),3.4)</f>
        <v>3.4</v>
      </c>
      <c r="E336" s="6">
        <f ca="1">IFERROR(__xludf.DUMMYFUNCTION("GOOGLEFINANCE(A336,""pe"")"),27.64)</f>
        <v>27.64</v>
      </c>
      <c r="F336" s="6">
        <f ca="1">IFERROR(__xludf.DUMMYFUNCTION("GoogleFinance(A336, ""beta"")"),1.1)</f>
        <v>1.1000000000000001</v>
      </c>
      <c r="G336" s="13">
        <f ca="1">IFERROR(__xludf.DUMMYFUNCTION("GOOGLEFINANCE(A336,""shares"")"),1217225000)</f>
        <v>1217225000</v>
      </c>
      <c r="H336" s="10">
        <f ca="1">IFERROR(__xludf.DUMMYFUNCTION("GOOGLEFINANCE(A336,""marketcap"")"),142391076666)</f>
        <v>142391076666</v>
      </c>
      <c r="I336" s="13">
        <f ca="1">IFERROR(__xludf.DUMMYFUNCTION("GOOGLEFINANCE(A336,""volume"")"),11331053)</f>
        <v>11331053</v>
      </c>
      <c r="J336" s="13">
        <f ca="1">IFERROR(__xludf.DUMMYFUNCTION("GOOGLEFINANCE(A336,""volumeavg"")"),10080024)</f>
        <v>10080024</v>
      </c>
      <c r="K336" s="15">
        <f ca="1">IFERROR(__xludf.DUMMYFUNCTION("GOOGLEFINANCE(A336,""high52"")"),128.68)</f>
        <v>128.68</v>
      </c>
      <c r="L336" s="15">
        <f ca="1">IFERROR(__xludf.DUMMYFUNCTION("GOOGLEFINANCE(A336,""low52"")"),88.66)</f>
        <v>88.66</v>
      </c>
      <c r="M336" s="7">
        <f t="shared" ca="1" si="0"/>
        <v>45379.717931597224</v>
      </c>
    </row>
    <row r="337" spans="1:13">
      <c r="A337" s="4" t="s">
        <v>348</v>
      </c>
      <c r="B337" s="5" t="str">
        <f ca="1">IFERROR(__xludf.DUMMYFUNCTION("GoogleFinance(A337, ""name"")"),"Northrop Grumman Corp")</f>
        <v>Northrop Grumman Corp</v>
      </c>
      <c r="C337" s="15">
        <f ca="1">IFERROR(__xludf.DUMMYFUNCTION("GoogleFinance(A337, ""price"")"),478.66)</f>
        <v>478.66</v>
      </c>
      <c r="D337" s="6">
        <f ca="1">IFERROR(__xludf.DUMMYFUNCTION("GoogleFinance(A337, ""eps"")"),13.53)</f>
        <v>13.53</v>
      </c>
      <c r="E337" s="6">
        <f ca="1">IFERROR(__xludf.DUMMYFUNCTION("GOOGLEFINANCE(A337,""pe"")"),35.39)</f>
        <v>35.39</v>
      </c>
      <c r="F337" s="6">
        <f ca="1">IFERROR(__xludf.DUMMYFUNCTION("GoogleFinance(A337, ""beta"")"),0.34)</f>
        <v>0.34</v>
      </c>
      <c r="G337" s="13">
        <f ca="1">IFERROR(__xludf.DUMMYFUNCTION("GOOGLEFINANCE(A337,""shares"")"),148140000)</f>
        <v>148140000</v>
      </c>
      <c r="H337" s="10">
        <f ca="1">IFERROR(__xludf.DUMMYFUNCTION("GOOGLEFINANCE(A337,""marketcap"")"),71816088711)</f>
        <v>71816088711</v>
      </c>
      <c r="I337" s="13">
        <f ca="1">IFERROR(__xludf.DUMMYFUNCTION("GOOGLEFINANCE(A337,""volume"")"),632450)</f>
        <v>632450</v>
      </c>
      <c r="J337" s="13">
        <f ca="1">IFERROR(__xludf.DUMMYFUNCTION("GOOGLEFINANCE(A337,""volumeavg"")"),825490)</f>
        <v>825490</v>
      </c>
      <c r="K337" s="15">
        <f ca="1">IFERROR(__xludf.DUMMYFUNCTION("GOOGLEFINANCE(A337,""high52"")"),496.89)</f>
        <v>496.89</v>
      </c>
      <c r="L337" s="15">
        <f ca="1">IFERROR(__xludf.DUMMYFUNCTION("GOOGLEFINANCE(A337,""low52"")"),414.56)</f>
        <v>414.56</v>
      </c>
      <c r="M337" s="7">
        <f t="shared" ca="1" si="0"/>
        <v>45379.717931597224</v>
      </c>
    </row>
    <row r="338" spans="1:13">
      <c r="A338" s="4" t="s">
        <v>349</v>
      </c>
      <c r="B338" s="5" t="str">
        <f ca="1">IFERROR(__xludf.DUMMYFUNCTION("GoogleFinance(A338, ""name"")"),"ServiceNow Inc")</f>
        <v>ServiceNow Inc</v>
      </c>
      <c r="C338" s="15">
        <f ca="1">IFERROR(__xludf.DUMMYFUNCTION("GoogleFinance(A338, ""price"")"),762.4)</f>
        <v>762.4</v>
      </c>
      <c r="D338" s="6">
        <f ca="1">IFERROR(__xludf.DUMMYFUNCTION("GoogleFinance(A338, ""eps"")"),8.42)</f>
        <v>8.42</v>
      </c>
      <c r="E338" s="6">
        <f ca="1">IFERROR(__xludf.DUMMYFUNCTION("GOOGLEFINANCE(A338,""pe"")"),90.55)</f>
        <v>90.55</v>
      </c>
      <c r="F338" s="6">
        <f ca="1">IFERROR(__xludf.DUMMYFUNCTION("GoogleFinance(A338, ""beta"")"),0.97)</f>
        <v>0.97</v>
      </c>
      <c r="G338" s="13">
        <f ca="1">IFERROR(__xludf.DUMMYFUNCTION("GOOGLEFINANCE(A338,""shares"")"),205000000)</f>
        <v>205000000</v>
      </c>
      <c r="H338" s="10">
        <f ca="1">IFERROR(__xludf.DUMMYFUNCTION("GOOGLEFINANCE(A338,""marketcap"")"),156292005004)</f>
        <v>156292005004</v>
      </c>
      <c r="I338" s="13">
        <f ca="1">IFERROR(__xludf.DUMMYFUNCTION("GOOGLEFINANCE(A338,""volume"")"),1083666)</f>
        <v>1083666</v>
      </c>
      <c r="J338" s="13">
        <f ca="1">IFERROR(__xludf.DUMMYFUNCTION("GOOGLEFINANCE(A338,""volumeavg"")"),1234333)</f>
        <v>1234333</v>
      </c>
      <c r="K338" s="15">
        <f ca="1">IFERROR(__xludf.DUMMYFUNCTION("GOOGLEFINANCE(A338,""high52"")"),815.32)</f>
        <v>815.32</v>
      </c>
      <c r="L338" s="15">
        <f ca="1">IFERROR(__xludf.DUMMYFUNCTION("GOOGLEFINANCE(A338,""low52"")"),427.68)</f>
        <v>427.68</v>
      </c>
      <c r="M338" s="7">
        <f t="shared" ca="1" si="0"/>
        <v>45379.717931597224</v>
      </c>
    </row>
    <row r="339" spans="1:13">
      <c r="A339" s="4" t="s">
        <v>350</v>
      </c>
      <c r="B339" s="5" t="str">
        <f ca="1">IFERROR(__xludf.DUMMYFUNCTION("GoogleFinance(A339, ""name"")"),"NRG Energy Inc")</f>
        <v>NRG Energy Inc</v>
      </c>
      <c r="C339" s="15">
        <f ca="1">IFERROR(__xludf.DUMMYFUNCTION("GoogleFinance(A339, ""price"")"),67.69)</f>
        <v>67.69</v>
      </c>
      <c r="D339" s="6">
        <f ca="1">IFERROR(__xludf.DUMMYFUNCTION("GoogleFinance(A339, ""eps"")"),-1.12)</f>
        <v>-1.1200000000000001</v>
      </c>
      <c r="E339" s="6" t="str">
        <f ca="1">IFERROR(__xludf.DUMMYFUNCTION("GOOGLEFINANCE(A339,""pe"")"),"#N/A")</f>
        <v>#N/A</v>
      </c>
      <c r="F339" s="6">
        <f ca="1">IFERROR(__xludf.DUMMYFUNCTION("GoogleFinance(A339, ""beta"")"),1.11)</f>
        <v>1.1100000000000001</v>
      </c>
      <c r="G339" s="13">
        <f ca="1">IFERROR(__xludf.DUMMYFUNCTION("GOOGLEFINANCE(A339,""shares"")"),208021000)</f>
        <v>208021000</v>
      </c>
      <c r="H339" s="10">
        <f ca="1">IFERROR(__xludf.DUMMYFUNCTION("GOOGLEFINANCE(A339,""marketcap"")"),14535372060)</f>
        <v>14535372060</v>
      </c>
      <c r="I339" s="13">
        <f ca="1">IFERROR(__xludf.DUMMYFUNCTION("GOOGLEFINANCE(A339,""volume"")"),2571405)</f>
        <v>2571405</v>
      </c>
      <c r="J339" s="13">
        <f ca="1">IFERROR(__xludf.DUMMYFUNCTION("GOOGLEFINANCE(A339,""volumeavg"")"),4217163)</f>
        <v>4217163</v>
      </c>
      <c r="K339" s="15">
        <f ca="1">IFERROR(__xludf.DUMMYFUNCTION("GOOGLEFINANCE(A339,""high52"")"),68.57)</f>
        <v>68.569999999999993</v>
      </c>
      <c r="L339" s="15">
        <f ca="1">IFERROR(__xludf.DUMMYFUNCTION("GOOGLEFINANCE(A339,""low52"")"),30.52)</f>
        <v>30.52</v>
      </c>
      <c r="M339" s="7">
        <f t="shared" ca="1" si="0"/>
        <v>45379.717931597224</v>
      </c>
    </row>
    <row r="340" spans="1:13">
      <c r="A340" s="4" t="s">
        <v>351</v>
      </c>
      <c r="B340" s="5" t="str">
        <f ca="1">IFERROR(__xludf.DUMMYFUNCTION("GoogleFinance(A340, ""name"")"),"Norfolk Southern Corp")</f>
        <v>Norfolk Southern Corp</v>
      </c>
      <c r="C340" s="15">
        <f ca="1">IFERROR(__xludf.DUMMYFUNCTION("GoogleFinance(A340, ""price"")"),254.87)</f>
        <v>254.87</v>
      </c>
      <c r="D340" s="6">
        <f ca="1">IFERROR(__xludf.DUMMYFUNCTION("GoogleFinance(A340, ""eps"")"),8.02)</f>
        <v>8.02</v>
      </c>
      <c r="E340" s="6">
        <f ca="1">IFERROR(__xludf.DUMMYFUNCTION("GOOGLEFINANCE(A340,""pe"")"),31.77)</f>
        <v>31.77</v>
      </c>
      <c r="F340" s="6">
        <f ca="1">IFERROR(__xludf.DUMMYFUNCTION("GoogleFinance(A340, ""beta"")"),1.3)</f>
        <v>1.3</v>
      </c>
      <c r="G340" s="13">
        <f ca="1">IFERROR(__xludf.DUMMYFUNCTION("GOOGLEFINANCE(A340,""shares"")"),225882000)</f>
        <v>225882000</v>
      </c>
      <c r="H340" s="10">
        <f ca="1">IFERROR(__xludf.DUMMYFUNCTION("GOOGLEFINANCE(A340,""marketcap"")"),57573551703)</f>
        <v>57573551703</v>
      </c>
      <c r="I340" s="13">
        <f ca="1">IFERROR(__xludf.DUMMYFUNCTION("GOOGLEFINANCE(A340,""volume"")"),1001324)</f>
        <v>1001324</v>
      </c>
      <c r="J340" s="13">
        <f ca="1">IFERROR(__xludf.DUMMYFUNCTION("GOOGLEFINANCE(A340,""volumeavg"")"),1252153)</f>
        <v>1252153</v>
      </c>
      <c r="K340" s="15">
        <f ca="1">IFERROR(__xludf.DUMMYFUNCTION("GOOGLEFINANCE(A340,""high52"")"),263.66)</f>
        <v>263.66000000000003</v>
      </c>
      <c r="L340" s="15">
        <f ca="1">IFERROR(__xludf.DUMMYFUNCTION("GOOGLEFINANCE(A340,""low52"")"),183.09)</f>
        <v>183.09</v>
      </c>
      <c r="M340" s="7">
        <f t="shared" ca="1" si="0"/>
        <v>45379.717931597224</v>
      </c>
    </row>
    <row r="341" spans="1:13">
      <c r="A341" s="4" t="s">
        <v>352</v>
      </c>
      <c r="B341" s="5" t="str">
        <f ca="1">IFERROR(__xludf.DUMMYFUNCTION("GoogleFinance(A341, ""name"")"),"NetApp Inc")</f>
        <v>NetApp Inc</v>
      </c>
      <c r="C341" s="15">
        <f ca="1">IFERROR(__xludf.DUMMYFUNCTION("GoogleFinance(A341, ""price"")"),104.97)</f>
        <v>104.97</v>
      </c>
      <c r="D341" s="6">
        <f ca="1">IFERROR(__xludf.DUMMYFUNCTION("GoogleFinance(A341, ""eps"")"),4.41)</f>
        <v>4.41</v>
      </c>
      <c r="E341" s="6">
        <f ca="1">IFERROR(__xludf.DUMMYFUNCTION("GOOGLEFINANCE(A341,""pe"")"),23.82)</f>
        <v>23.82</v>
      </c>
      <c r="F341" s="6">
        <f ca="1">IFERROR(__xludf.DUMMYFUNCTION("GoogleFinance(A341, ""beta"")"),1.27)</f>
        <v>1.27</v>
      </c>
      <c r="G341" s="13">
        <f ca="1">IFERROR(__xludf.DUMMYFUNCTION("GOOGLEFINANCE(A341,""shares"")"),206377000)</f>
        <v>206377000</v>
      </c>
      <c r="H341" s="10">
        <f ca="1">IFERROR(__xludf.DUMMYFUNCTION("GOOGLEFINANCE(A341,""marketcap"")"),21663351953)</f>
        <v>21663351953</v>
      </c>
      <c r="I341" s="13">
        <f ca="1">IFERROR(__xludf.DUMMYFUNCTION("GOOGLEFINANCE(A341,""volume"")"),1363552)</f>
        <v>1363552</v>
      </c>
      <c r="J341" s="13">
        <f ca="1">IFERROR(__xludf.DUMMYFUNCTION("GOOGLEFINANCE(A341,""volumeavg"")"),2433888)</f>
        <v>2433888</v>
      </c>
      <c r="K341" s="15">
        <f ca="1">IFERROR(__xludf.DUMMYFUNCTION("GOOGLEFINANCE(A341,""high52"")"),112.48)</f>
        <v>112.48</v>
      </c>
      <c r="L341" s="15">
        <f ca="1">IFERROR(__xludf.DUMMYFUNCTION("GOOGLEFINANCE(A341,""low52"")"),60.92)</f>
        <v>60.92</v>
      </c>
      <c r="M341" s="7">
        <f t="shared" ca="1" si="0"/>
        <v>45379.717931597224</v>
      </c>
    </row>
    <row r="342" spans="1:13">
      <c r="A342" s="4" t="s">
        <v>353</v>
      </c>
      <c r="B342" s="5" t="str">
        <f ca="1">IFERROR(__xludf.DUMMYFUNCTION("GoogleFinance(A342, ""name"")"),"Northern Trust Corp")</f>
        <v>Northern Trust Corp</v>
      </c>
      <c r="C342" s="15">
        <f ca="1">IFERROR(__xludf.DUMMYFUNCTION("GoogleFinance(A342, ""price"")"),88.92)</f>
        <v>88.92</v>
      </c>
      <c r="D342" s="6">
        <f ca="1">IFERROR(__xludf.DUMMYFUNCTION("GoogleFinance(A342, ""eps"")"),5.08)</f>
        <v>5.08</v>
      </c>
      <c r="E342" s="6">
        <f ca="1">IFERROR(__xludf.DUMMYFUNCTION("GOOGLEFINANCE(A342,""pe"")"),17.51)</f>
        <v>17.510000000000002</v>
      </c>
      <c r="F342" s="6">
        <f ca="1">IFERROR(__xludf.DUMMYFUNCTION("GoogleFinance(A342, ""beta"")"),1.12)</f>
        <v>1.1200000000000001</v>
      </c>
      <c r="G342" s="13">
        <f ca="1">IFERROR(__xludf.DUMMYFUNCTION("GOOGLEFINANCE(A342,""shares"")"),204019000)</f>
        <v>204019000</v>
      </c>
      <c r="H342" s="10">
        <f ca="1">IFERROR(__xludf.DUMMYFUNCTION("GOOGLEFINANCE(A342,""marketcap"")"),18141369106)</f>
        <v>18141369106</v>
      </c>
      <c r="I342" s="13">
        <f ca="1">IFERROR(__xludf.DUMMYFUNCTION("GOOGLEFINANCE(A342,""volume"")"),1092623)</f>
        <v>1092623</v>
      </c>
      <c r="J342" s="13">
        <f ca="1">IFERROR(__xludf.DUMMYFUNCTION("GOOGLEFINANCE(A342,""volumeavg"")"),1752831)</f>
        <v>1752831</v>
      </c>
      <c r="K342" s="15">
        <f ca="1">IFERROR(__xludf.DUMMYFUNCTION("GOOGLEFINANCE(A342,""high52"")"),90.59)</f>
        <v>90.59</v>
      </c>
      <c r="L342" s="15">
        <f ca="1">IFERROR(__xludf.DUMMYFUNCTION("GOOGLEFINANCE(A342,""low52"")"),62.44)</f>
        <v>62.44</v>
      </c>
      <c r="M342" s="7">
        <f t="shared" ca="1" si="0"/>
        <v>45379.717931597224</v>
      </c>
    </row>
    <row r="343" spans="1:13">
      <c r="A343" s="4" t="s">
        <v>354</v>
      </c>
      <c r="B343" s="5" t="str">
        <f ca="1">IFERROR(__xludf.DUMMYFUNCTION("GoogleFinance(A343, ""name"")"),"Nucor Corp")</f>
        <v>Nucor Corp</v>
      </c>
      <c r="C343" s="15">
        <f ca="1">IFERROR(__xludf.DUMMYFUNCTION("GoogleFinance(A343, ""price"")"),197.9)</f>
        <v>197.9</v>
      </c>
      <c r="D343" s="6">
        <f ca="1">IFERROR(__xludf.DUMMYFUNCTION("GoogleFinance(A343, ""eps"")"),18)</f>
        <v>18</v>
      </c>
      <c r="E343" s="6">
        <f ca="1">IFERROR(__xludf.DUMMYFUNCTION("GOOGLEFINANCE(A343,""pe"")"),10.99)</f>
        <v>10.99</v>
      </c>
      <c r="F343" s="6">
        <f ca="1">IFERROR(__xludf.DUMMYFUNCTION("GoogleFinance(A343, ""beta"")"),1.61)</f>
        <v>1.61</v>
      </c>
      <c r="G343" s="13">
        <f ca="1">IFERROR(__xludf.DUMMYFUNCTION("GOOGLEFINANCE(A343,""shares"")"),240745000)</f>
        <v>240745000</v>
      </c>
      <c r="H343" s="10">
        <f ca="1">IFERROR(__xludf.DUMMYFUNCTION("GOOGLEFINANCE(A343,""marketcap"")"),47492020745)</f>
        <v>47492020745</v>
      </c>
      <c r="I343" s="13">
        <f ca="1">IFERROR(__xludf.DUMMYFUNCTION("GOOGLEFINANCE(A343,""volume"")"),1051990)</f>
        <v>1051990</v>
      </c>
      <c r="J343" s="13">
        <f ca="1">IFERROR(__xludf.DUMMYFUNCTION("GOOGLEFINANCE(A343,""volumeavg"")"),1312336)</f>
        <v>1312336</v>
      </c>
      <c r="K343" s="15">
        <f ca="1">IFERROR(__xludf.DUMMYFUNCTION("GOOGLEFINANCE(A343,""high52"")"),199)</f>
        <v>199</v>
      </c>
      <c r="L343" s="15">
        <f ca="1">IFERROR(__xludf.DUMMYFUNCTION("GOOGLEFINANCE(A343,""low52"")"),129.79)</f>
        <v>129.79</v>
      </c>
      <c r="M343" s="7">
        <f t="shared" ca="1" si="0"/>
        <v>45379.717931597224</v>
      </c>
    </row>
    <row r="344" spans="1:13">
      <c r="A344" s="4" t="s">
        <v>355</v>
      </c>
      <c r="B344" s="5" t="str">
        <f ca="1">IFERROR(__xludf.DUMMYFUNCTION("GoogleFinance(A344, ""name"")"),"NVIDIA Corp")</f>
        <v>NVIDIA Corp</v>
      </c>
      <c r="C344" s="15">
        <f ca="1">IFERROR(__xludf.DUMMYFUNCTION("GoogleFinance(A344, ""price"")"),903.56)</f>
        <v>903.56</v>
      </c>
      <c r="D344" s="6">
        <f ca="1">IFERROR(__xludf.DUMMYFUNCTION("GoogleFinance(A344, ""eps"")"),11.93)</f>
        <v>11.93</v>
      </c>
      <c r="E344" s="6">
        <f ca="1">IFERROR(__xludf.DUMMYFUNCTION("GOOGLEFINANCE(A344,""pe"")"),75.72)</f>
        <v>75.72</v>
      </c>
      <c r="F344" s="6">
        <f ca="1">IFERROR(__xludf.DUMMYFUNCTION("GoogleFinance(A344, ""beta"")"),1.72)</f>
        <v>1.72</v>
      </c>
      <c r="G344" s="13">
        <f ca="1">IFERROR(__xludf.DUMMYFUNCTION("GOOGLEFINANCE(A344,""shares"")"),2500000000)</f>
        <v>2500000000</v>
      </c>
      <c r="H344" s="10">
        <f ca="1">IFERROR(__xludf.DUMMYFUNCTION("GOOGLEFINANCE(A344,""marketcap"")"),2258899993896)</f>
        <v>2258899993896</v>
      </c>
      <c r="I344" s="13">
        <f ca="1">IFERROR(__xludf.DUMMYFUNCTION("GOOGLEFINANCE(A344,""volume"")"),43497901)</f>
        <v>43497901</v>
      </c>
      <c r="J344" s="13">
        <f ca="1">IFERROR(__xludf.DUMMYFUNCTION("GOOGLEFINANCE(A344,""volumeavg"")"),60397081)</f>
        <v>60397081</v>
      </c>
      <c r="K344" s="15">
        <f ca="1">IFERROR(__xludf.DUMMYFUNCTION("GOOGLEFINANCE(A344,""high52"")"),974)</f>
        <v>974</v>
      </c>
      <c r="L344" s="15">
        <f ca="1">IFERROR(__xludf.DUMMYFUNCTION("GOOGLEFINANCE(A344,""low52"")"),262.2)</f>
        <v>262.2</v>
      </c>
      <c r="M344" s="7">
        <f t="shared" ca="1" si="0"/>
        <v>45379.717931597224</v>
      </c>
    </row>
    <row r="345" spans="1:13">
      <c r="A345" s="4" t="s">
        <v>356</v>
      </c>
      <c r="B345" s="5" t="str">
        <f ca="1">IFERROR(__xludf.DUMMYFUNCTION("GoogleFinance(A345, ""name"")"),"NVR Inc")</f>
        <v>NVR Inc</v>
      </c>
      <c r="C345" s="15">
        <f ca="1">IFERROR(__xludf.DUMMYFUNCTION("GoogleFinance(A345, ""price"")"),8099.96)</f>
        <v>8099.96</v>
      </c>
      <c r="D345" s="6">
        <f ca="1">IFERROR(__xludf.DUMMYFUNCTION("GoogleFinance(A345, ""eps"")"),463.35)</f>
        <v>463.35</v>
      </c>
      <c r="E345" s="6">
        <f ca="1">IFERROR(__xludf.DUMMYFUNCTION("GOOGLEFINANCE(A345,""pe"")"),17.48)</f>
        <v>17.48</v>
      </c>
      <c r="F345" s="6">
        <f ca="1">IFERROR(__xludf.DUMMYFUNCTION("GoogleFinance(A345, ""beta"")"),1.13)</f>
        <v>1.1299999999999999</v>
      </c>
      <c r="G345" s="13">
        <f ca="1">IFERROR(__xludf.DUMMYFUNCTION("GOOGLEFINANCE(A345,""shares"")"),3186000)</f>
        <v>3186000</v>
      </c>
      <c r="H345" s="10">
        <f ca="1">IFERROR(__xludf.DUMMYFUNCTION("GOOGLEFINANCE(A345,""marketcap"")"),25904166052)</f>
        <v>25904166052</v>
      </c>
      <c r="I345" s="13">
        <f ca="1">IFERROR(__xludf.DUMMYFUNCTION("GOOGLEFINANCE(A345,""volume"")"),17635)</f>
        <v>17635</v>
      </c>
      <c r="J345" s="13">
        <f ca="1">IFERROR(__xludf.DUMMYFUNCTION("GOOGLEFINANCE(A345,""volumeavg"")"),17641)</f>
        <v>17641</v>
      </c>
      <c r="K345" s="15">
        <f ca="1">IFERROR(__xludf.DUMMYFUNCTION("GOOGLEFINANCE(A345,""high52"")"),8158.99)</f>
        <v>8158.99</v>
      </c>
      <c r="L345" s="15">
        <f ca="1">IFERROR(__xludf.DUMMYFUNCTION("GOOGLEFINANCE(A345,""low52"")"),5210.49)</f>
        <v>5210.49</v>
      </c>
      <c r="M345" s="7">
        <f t="shared" ca="1" si="0"/>
        <v>45379.717931597224</v>
      </c>
    </row>
    <row r="346" spans="1:13">
      <c r="A346" s="4" t="s">
        <v>357</v>
      </c>
      <c r="B346" s="5" t="str">
        <f ca="1">IFERROR(__xludf.DUMMYFUNCTION("GoogleFinance(A346, ""name"")"),"News Corp Class B")</f>
        <v>News Corp Class B</v>
      </c>
      <c r="C346" s="15">
        <f ca="1">IFERROR(__xludf.DUMMYFUNCTION("GoogleFinance(A346, ""price"")"),27.06)</f>
        <v>27.06</v>
      </c>
      <c r="D346" s="6">
        <f ca="1">IFERROR(__xludf.DUMMYFUNCTION("GoogleFinance(A346, ""eps"")"),0.39)</f>
        <v>0.39</v>
      </c>
      <c r="E346" s="6">
        <f ca="1">IFERROR(__xludf.DUMMYFUNCTION("GOOGLEFINANCE(A346,""pe"")"),68.58)</f>
        <v>68.58</v>
      </c>
      <c r="F346" s="6">
        <f ca="1">IFERROR(__xludf.DUMMYFUNCTION("GoogleFinance(A346, ""beta"")"),1.35)</f>
        <v>1.35</v>
      </c>
      <c r="G346" s="13">
        <f ca="1">IFERROR(__xludf.DUMMYFUNCTION("GOOGLEFINANCE(A346,""shares"")"),191095000)</f>
        <v>191095000</v>
      </c>
      <c r="H346" s="10">
        <f ca="1">IFERROR(__xludf.DUMMYFUNCTION("GOOGLEFINANCE(A346,""marketcap"")"),15111745440)</f>
        <v>15111745440</v>
      </c>
      <c r="I346" s="13">
        <f ca="1">IFERROR(__xludf.DUMMYFUNCTION("GOOGLEFINANCE(A346,""volume"")"),869597)</f>
        <v>869597</v>
      </c>
      <c r="J346" s="13">
        <f ca="1">IFERROR(__xludf.DUMMYFUNCTION("GOOGLEFINANCE(A346,""volumeavg"")"),690960)</f>
        <v>690960</v>
      </c>
      <c r="K346" s="15">
        <f ca="1">IFERROR(__xludf.DUMMYFUNCTION("GOOGLEFINANCE(A346,""high52"")"),28.92)</f>
        <v>28.92</v>
      </c>
      <c r="L346" s="15">
        <f ca="1">IFERROR(__xludf.DUMMYFUNCTION("GOOGLEFINANCE(A346,""low52"")"),16.49)</f>
        <v>16.489999999999998</v>
      </c>
      <c r="M346" s="7">
        <f t="shared" ca="1" si="0"/>
        <v>45379.717931597224</v>
      </c>
    </row>
    <row r="347" spans="1:13">
      <c r="A347" s="4" t="s">
        <v>358</v>
      </c>
      <c r="B347" s="5" t="str">
        <f ca="1">IFERROR(__xludf.DUMMYFUNCTION("GoogleFinance(A347, ""name"")"),"News Corp Class A")</f>
        <v>News Corp Class A</v>
      </c>
      <c r="C347" s="15">
        <f ca="1">IFERROR(__xludf.DUMMYFUNCTION("GoogleFinance(A347, ""price"")"),26.18)</f>
        <v>26.18</v>
      </c>
      <c r="D347" s="6">
        <f ca="1">IFERROR(__xludf.DUMMYFUNCTION("GoogleFinance(A347, ""eps"")"),0.39)</f>
        <v>0.39</v>
      </c>
      <c r="E347" s="6">
        <f ca="1">IFERROR(__xludf.DUMMYFUNCTION("GOOGLEFINANCE(A347,""pe"")"),66.35)</f>
        <v>66.349999999999994</v>
      </c>
      <c r="F347" s="6">
        <f ca="1">IFERROR(__xludf.DUMMYFUNCTION("GoogleFinance(A347, ""beta"")"),1.33)</f>
        <v>1.33</v>
      </c>
      <c r="G347" s="13">
        <f ca="1">IFERROR(__xludf.DUMMYFUNCTION("GOOGLEFINANCE(A347,""shares"")"),376056000)</f>
        <v>376056000</v>
      </c>
      <c r="H347" s="10">
        <f ca="1">IFERROR(__xludf.DUMMYFUNCTION("GOOGLEFINANCE(A347,""marketcap"")"),15111745440)</f>
        <v>15111745440</v>
      </c>
      <c r="I347" s="13">
        <f ca="1">IFERROR(__xludf.DUMMYFUNCTION("GOOGLEFINANCE(A347,""volume"")"),3432629)</f>
        <v>3432629</v>
      </c>
      <c r="J347" s="13">
        <f ca="1">IFERROR(__xludf.DUMMYFUNCTION("GOOGLEFINANCE(A347,""volumeavg"")"),2838874)</f>
        <v>2838874</v>
      </c>
      <c r="K347" s="15">
        <f ca="1">IFERROR(__xludf.DUMMYFUNCTION("GOOGLEFINANCE(A347,""high52"")"),28)</f>
        <v>28</v>
      </c>
      <c r="L347" s="15">
        <f ca="1">IFERROR(__xludf.DUMMYFUNCTION("GOOGLEFINANCE(A347,""low52"")"),16.35)</f>
        <v>16.350000000000001</v>
      </c>
      <c r="M347" s="7">
        <f t="shared" ca="1" si="0"/>
        <v>45379.717931597224</v>
      </c>
    </row>
    <row r="348" spans="1:13">
      <c r="A348" s="4" t="s">
        <v>359</v>
      </c>
      <c r="B348" s="5" t="str">
        <f ca="1">IFERROR(__xludf.DUMMYFUNCTION("GoogleFinance(A348, ""name"")"),"NXP Semiconductors NV")</f>
        <v>NXP Semiconductors NV</v>
      </c>
      <c r="C348" s="15">
        <f ca="1">IFERROR(__xludf.DUMMYFUNCTION("GoogleFinance(A348, ""price"")"),247.77)</f>
        <v>247.77</v>
      </c>
      <c r="D348" s="6">
        <f ca="1">IFERROR(__xludf.DUMMYFUNCTION("GoogleFinance(A348, ""eps"")"),10.7)</f>
        <v>10.7</v>
      </c>
      <c r="E348" s="6">
        <f ca="1">IFERROR(__xludf.DUMMYFUNCTION("GOOGLEFINANCE(A348,""pe"")"),23.15)</f>
        <v>23.15</v>
      </c>
      <c r="F348" s="6">
        <f ca="1">IFERROR(__xludf.DUMMYFUNCTION("GoogleFinance(A348, ""beta"")"),1.6)</f>
        <v>1.6</v>
      </c>
      <c r="G348" s="13">
        <f ca="1">IFERROR(__xludf.DUMMYFUNCTION("GOOGLEFINANCE(A348,""shares"")"),256459000)</f>
        <v>256459000</v>
      </c>
      <c r="H348" s="10">
        <f ca="1">IFERROR(__xludf.DUMMYFUNCTION("GOOGLEFINANCE(A348,""marketcap"")"),63542897079)</f>
        <v>63542897079</v>
      </c>
      <c r="I348" s="13">
        <f ca="1">IFERROR(__xludf.DUMMYFUNCTION("GOOGLEFINANCE(A348,""volume"")"),1731413)</f>
        <v>1731413</v>
      </c>
      <c r="J348" s="13">
        <f ca="1">IFERROR(__xludf.DUMMYFUNCTION("GOOGLEFINANCE(A348,""volumeavg"")"),2379060)</f>
        <v>2379060</v>
      </c>
      <c r="K348" s="15">
        <f ca="1">IFERROR(__xludf.DUMMYFUNCTION("GOOGLEFINANCE(A348,""high52"")"),264.26)</f>
        <v>264.26</v>
      </c>
      <c r="L348" s="15">
        <f ca="1">IFERROR(__xludf.DUMMYFUNCTION("GOOGLEFINANCE(A348,""low52"")"),155.31)</f>
        <v>155.31</v>
      </c>
      <c r="M348" s="7">
        <f t="shared" ca="1" si="0"/>
        <v>45379.717931597224</v>
      </c>
    </row>
    <row r="349" spans="1:13">
      <c r="A349" s="4" t="s">
        <v>360</v>
      </c>
      <c r="B349" s="5" t="str">
        <f ca="1">IFERROR(__xludf.DUMMYFUNCTION("GoogleFinance(A349, ""name"")"),"Realty Income Corp")</f>
        <v>Realty Income Corp</v>
      </c>
      <c r="C349" s="15">
        <f ca="1">IFERROR(__xludf.DUMMYFUNCTION("GoogleFinance(A349, ""price"")"),54.1)</f>
        <v>54.1</v>
      </c>
      <c r="D349" s="6">
        <f ca="1">IFERROR(__xludf.DUMMYFUNCTION("GoogleFinance(A349, ""eps"")"),1.26)</f>
        <v>1.26</v>
      </c>
      <c r="E349" s="6">
        <f ca="1">IFERROR(__xludf.DUMMYFUNCTION("GOOGLEFINANCE(A349,""pe"")"),42.98)</f>
        <v>42.98</v>
      </c>
      <c r="F349" s="6">
        <f ca="1">IFERROR(__xludf.DUMMYFUNCTION("GoogleFinance(A349, ""beta"")"),0.93)</f>
        <v>0.93</v>
      </c>
      <c r="G349" s="13">
        <f ca="1">IFERROR(__xludf.DUMMYFUNCTION("GOOGLEFINANCE(A349,""shares"")"),861124000)</f>
        <v>861124000</v>
      </c>
      <c r="H349" s="10">
        <f ca="1">IFERROR(__xludf.DUMMYFUNCTION("GOOGLEFINANCE(A349,""marketcap"")"),46586796266)</f>
        <v>46586796266</v>
      </c>
      <c r="I349" s="13">
        <f ca="1">IFERROR(__xludf.DUMMYFUNCTION("GOOGLEFINANCE(A349,""volume"")"),6317902)</f>
        <v>6317902</v>
      </c>
      <c r="J349" s="13">
        <f ca="1">IFERROR(__xludf.DUMMYFUNCTION("GOOGLEFINANCE(A349,""volumeavg"")"),6240352)</f>
        <v>6240352</v>
      </c>
      <c r="K349" s="15">
        <f ca="1">IFERROR(__xludf.DUMMYFUNCTION("GOOGLEFINANCE(A349,""high52"")"),64.18)</f>
        <v>64.180000000000007</v>
      </c>
      <c r="L349" s="15">
        <f ca="1">IFERROR(__xludf.DUMMYFUNCTION("GOOGLEFINANCE(A349,""low52"")"),45.04)</f>
        <v>45.04</v>
      </c>
      <c r="M349" s="7">
        <f t="shared" ca="1" si="0"/>
        <v>45379.717931597224</v>
      </c>
    </row>
    <row r="350" spans="1:13">
      <c r="A350" s="4" t="s">
        <v>361</v>
      </c>
      <c r="B350" s="5" t="str">
        <f ca="1">IFERROR(__xludf.DUMMYFUNCTION("GoogleFinance(A350, ""name"")"),"Old Dominion Freight Line Inc")</f>
        <v>Old Dominion Freight Line Inc</v>
      </c>
      <c r="C350" s="15">
        <f ca="1">IFERROR(__xludf.DUMMYFUNCTION("GoogleFinance(A350, ""price"")"),219.31)</f>
        <v>219.31</v>
      </c>
      <c r="D350" s="6">
        <f ca="1">IFERROR(__xludf.DUMMYFUNCTION("GoogleFinance(A350, ""eps"")"),11.26)</f>
        <v>11.26</v>
      </c>
      <c r="E350" s="6">
        <f ca="1">IFERROR(__xludf.DUMMYFUNCTION("GOOGLEFINANCE(A350,""pe"")"),19.48)</f>
        <v>19.48</v>
      </c>
      <c r="F350" s="6">
        <f ca="1">IFERROR(__xludf.DUMMYFUNCTION("GoogleFinance(A350, ""beta"")"),1.03)</f>
        <v>1.03</v>
      </c>
      <c r="G350" s="13">
        <f ca="1">IFERROR(__xludf.DUMMYFUNCTION("GOOGLEFINANCE(A350,""shares"")"),108837000)</f>
        <v>108837000</v>
      </c>
      <c r="H350" s="10">
        <f ca="1">IFERROR(__xludf.DUMMYFUNCTION("GOOGLEFINANCE(A350,""marketcap"")"),23869064135)</f>
        <v>23869064135</v>
      </c>
      <c r="I350" s="13">
        <f ca="1">IFERROR(__xludf.DUMMYFUNCTION("GOOGLEFINANCE(A350,""volume"")"),1213476)</f>
        <v>1213476</v>
      </c>
      <c r="J350" s="13">
        <f ca="1">IFERROR(__xludf.DUMMYFUNCTION("GOOGLEFINANCE(A350,""volumeavg"")"),1288594)</f>
        <v>1288594</v>
      </c>
      <c r="K350" s="15">
        <f ca="1">IFERROR(__xludf.DUMMYFUNCTION("GOOGLEFINANCE(A350,""high52"")"),226.17)</f>
        <v>226.17</v>
      </c>
      <c r="L350" s="15">
        <f ca="1">IFERROR(__xludf.DUMMYFUNCTION("GOOGLEFINANCE(A350,""low52"")"),147.9)</f>
        <v>147.9</v>
      </c>
      <c r="M350" s="7">
        <f t="shared" ca="1" si="0"/>
        <v>45379.717931597224</v>
      </c>
    </row>
    <row r="351" spans="1:13">
      <c r="A351" s="4" t="s">
        <v>362</v>
      </c>
      <c r="B351" s="5" t="str">
        <f ca="1">IFERROR(__xludf.DUMMYFUNCTION("GoogleFinance(A351, ""name"")"),"ONEOK Inc")</f>
        <v>ONEOK Inc</v>
      </c>
      <c r="C351" s="15">
        <f ca="1">IFERROR(__xludf.DUMMYFUNCTION("GoogleFinance(A351, ""price"")"),80.17)</f>
        <v>80.17</v>
      </c>
      <c r="D351" s="6">
        <f ca="1">IFERROR(__xludf.DUMMYFUNCTION("GoogleFinance(A351, ""eps"")"),5.48)</f>
        <v>5.48</v>
      </c>
      <c r="E351" s="6">
        <f ca="1">IFERROR(__xludf.DUMMYFUNCTION("GOOGLEFINANCE(A351,""pe"")"),14.64)</f>
        <v>14.64</v>
      </c>
      <c r="F351" s="6">
        <f ca="1">IFERROR(__xludf.DUMMYFUNCTION("GoogleFinance(A351, ""beta"")"),1.65)</f>
        <v>1.65</v>
      </c>
      <c r="G351" s="13">
        <f ca="1">IFERROR(__xludf.DUMMYFUNCTION("GOOGLEFINANCE(A351,""shares"")"),583159000)</f>
        <v>583159000</v>
      </c>
      <c r="H351" s="10">
        <f ca="1">IFERROR(__xludf.DUMMYFUNCTION("GOOGLEFINANCE(A351,""marketcap"")"),46751888030)</f>
        <v>46751888030</v>
      </c>
      <c r="I351" s="13">
        <f ca="1">IFERROR(__xludf.DUMMYFUNCTION("GOOGLEFINANCE(A351,""volume"")"),3070614)</f>
        <v>3070614</v>
      </c>
      <c r="J351" s="13">
        <f ca="1">IFERROR(__xludf.DUMMYFUNCTION("GOOGLEFINANCE(A351,""volumeavg"")"),3084715)</f>
        <v>3084715</v>
      </c>
      <c r="K351" s="15">
        <f ca="1">IFERROR(__xludf.DUMMYFUNCTION("GOOGLEFINANCE(A351,""high52"")"),80.53)</f>
        <v>80.53</v>
      </c>
      <c r="L351" s="15">
        <f ca="1">IFERROR(__xludf.DUMMYFUNCTION("GOOGLEFINANCE(A351,""low52"")"),55.91)</f>
        <v>55.91</v>
      </c>
      <c r="M351" s="7">
        <f t="shared" ca="1" si="0"/>
        <v>45379.717931597224</v>
      </c>
    </row>
    <row r="352" spans="1:13">
      <c r="A352" s="4" t="s">
        <v>363</v>
      </c>
      <c r="B352" s="5" t="str">
        <f ca="1">IFERROR(__xludf.DUMMYFUNCTION("GoogleFinance(A352, ""name"")"),"Omnicom Group Inc.")</f>
        <v>Omnicom Group Inc.</v>
      </c>
      <c r="C352" s="15">
        <f ca="1">IFERROR(__xludf.DUMMYFUNCTION("GoogleFinance(A352, ""price"")"),96.76)</f>
        <v>96.76</v>
      </c>
      <c r="D352" s="6">
        <f ca="1">IFERROR(__xludf.DUMMYFUNCTION("GoogleFinance(A352, ""eps"")"),6.91)</f>
        <v>6.91</v>
      </c>
      <c r="E352" s="6">
        <f ca="1">IFERROR(__xludf.DUMMYFUNCTION("GOOGLEFINANCE(A352,""pe"")"),14.01)</f>
        <v>14.01</v>
      </c>
      <c r="F352" s="6">
        <f ca="1">IFERROR(__xludf.DUMMYFUNCTION("GoogleFinance(A352, ""beta"")"),0.96)</f>
        <v>0.96</v>
      </c>
      <c r="G352" s="13">
        <f ca="1">IFERROR(__xludf.DUMMYFUNCTION("GOOGLEFINANCE(A352,""shares"")"),197993000)</f>
        <v>197993000</v>
      </c>
      <c r="H352" s="10">
        <f ca="1">IFERROR(__xludf.DUMMYFUNCTION("GOOGLEFINANCE(A352,""marketcap"")"),19157774074)</f>
        <v>19157774074</v>
      </c>
      <c r="I352" s="13">
        <f ca="1">IFERROR(__xludf.DUMMYFUNCTION("GOOGLEFINANCE(A352,""volume"")"),2248283)</f>
        <v>2248283</v>
      </c>
      <c r="J352" s="13">
        <f ca="1">IFERROR(__xludf.DUMMYFUNCTION("GOOGLEFINANCE(A352,""volumeavg"")"),1622081)</f>
        <v>1622081</v>
      </c>
      <c r="K352" s="15">
        <f ca="1">IFERROR(__xludf.DUMMYFUNCTION("GOOGLEFINANCE(A352,""high52"")"),99.23)</f>
        <v>99.23</v>
      </c>
      <c r="L352" s="15">
        <f ca="1">IFERROR(__xludf.DUMMYFUNCTION("GOOGLEFINANCE(A352,""low52"")"),72.2)</f>
        <v>72.2</v>
      </c>
      <c r="M352" s="7">
        <f t="shared" ca="1" si="0"/>
        <v>45379.717931597224</v>
      </c>
    </row>
    <row r="353" spans="1:13">
      <c r="A353" s="4" t="s">
        <v>364</v>
      </c>
      <c r="B353" s="5" t="str">
        <f ca="1">IFERROR(__xludf.DUMMYFUNCTION("GoogleFinance(A353, ""name"")"),"ON Semiconductor Corp")</f>
        <v>ON Semiconductor Corp</v>
      </c>
      <c r="C353" s="15">
        <f ca="1">IFERROR(__xludf.DUMMYFUNCTION("GoogleFinance(A353, ""price"")"),73.55)</f>
        <v>73.55</v>
      </c>
      <c r="D353" s="6">
        <f ca="1">IFERROR(__xludf.DUMMYFUNCTION("GoogleFinance(A353, ""eps"")"),4.89)</f>
        <v>4.8899999999999997</v>
      </c>
      <c r="E353" s="6">
        <f ca="1">IFERROR(__xludf.DUMMYFUNCTION("GOOGLEFINANCE(A353,""pe"")"),15.04)</f>
        <v>15.04</v>
      </c>
      <c r="F353" s="6">
        <f ca="1">IFERROR(__xludf.DUMMYFUNCTION("GoogleFinance(A353, ""beta"")"),1.81)</f>
        <v>1.81</v>
      </c>
      <c r="G353" s="13">
        <f ca="1">IFERROR(__xludf.DUMMYFUNCTION("GOOGLEFINANCE(A353,""shares"")"),427329000)</f>
        <v>427329000</v>
      </c>
      <c r="H353" s="10">
        <f ca="1">IFERROR(__xludf.DUMMYFUNCTION("GOOGLEFINANCE(A353,""marketcap"")"),31430019834)</f>
        <v>31430019834</v>
      </c>
      <c r="I353" s="13">
        <f ca="1">IFERROR(__xludf.DUMMYFUNCTION("GOOGLEFINANCE(A353,""volume"")"),7408823)</f>
        <v>7408823</v>
      </c>
      <c r="J353" s="13">
        <f ca="1">IFERROR(__xludf.DUMMYFUNCTION("GOOGLEFINANCE(A353,""volumeavg"")"),6173663)</f>
        <v>6173663</v>
      </c>
      <c r="K353" s="15">
        <f ca="1">IFERROR(__xludf.DUMMYFUNCTION("GOOGLEFINANCE(A353,""high52"")"),111.35)</f>
        <v>111.35</v>
      </c>
      <c r="L353" s="15">
        <f ca="1">IFERROR(__xludf.DUMMYFUNCTION("GOOGLEFINANCE(A353,""low52"")"),61.47)</f>
        <v>61.47</v>
      </c>
      <c r="M353" s="7">
        <f t="shared" ca="1" si="0"/>
        <v>45379.717931597224</v>
      </c>
    </row>
    <row r="354" spans="1:13">
      <c r="A354" s="4" t="s">
        <v>365</v>
      </c>
      <c r="B354" s="5" t="str">
        <f ca="1">IFERROR(__xludf.DUMMYFUNCTION("GoogleFinance(A354, ""name"")"),"Oracle Corp")</f>
        <v>Oracle Corp</v>
      </c>
      <c r="C354" s="15">
        <f ca="1">IFERROR(__xludf.DUMMYFUNCTION("GoogleFinance(A354, ""price"")"),125.61)</f>
        <v>125.61</v>
      </c>
      <c r="D354" s="6">
        <f ca="1">IFERROR(__xludf.DUMMYFUNCTION("GoogleFinance(A354, ""eps"")"),3.79)</f>
        <v>3.79</v>
      </c>
      <c r="E354" s="6">
        <f ca="1">IFERROR(__xludf.DUMMYFUNCTION("GOOGLEFINANCE(A354,""pe"")"),33.18)</f>
        <v>33.18</v>
      </c>
      <c r="F354" s="6">
        <f ca="1">IFERROR(__xludf.DUMMYFUNCTION("GoogleFinance(A354, ""beta"")"),1)</f>
        <v>1</v>
      </c>
      <c r="G354" s="13">
        <f ca="1">IFERROR(__xludf.DUMMYFUNCTION("GOOGLEFINANCE(A354,""shares"")"),2748514000)</f>
        <v>2748514000</v>
      </c>
      <c r="H354" s="10">
        <f ca="1">IFERROR(__xludf.DUMMYFUNCTION("GOOGLEFINANCE(A354,""marketcap"")"),345240719607)</f>
        <v>345240719607</v>
      </c>
      <c r="I354" s="13">
        <f ca="1">IFERROR(__xludf.DUMMYFUNCTION("GOOGLEFINANCE(A354,""volume"")"),6587134)</f>
        <v>6587134</v>
      </c>
      <c r="J354" s="13">
        <f ca="1">IFERROR(__xludf.DUMMYFUNCTION("GOOGLEFINANCE(A354,""volumeavg"")"),10588987)</f>
        <v>10588987</v>
      </c>
      <c r="K354" s="15">
        <f ca="1">IFERROR(__xludf.DUMMYFUNCTION("GOOGLEFINANCE(A354,""high52"")"),132.77)</f>
        <v>132.77000000000001</v>
      </c>
      <c r="L354" s="15">
        <f ca="1">IFERROR(__xludf.DUMMYFUNCTION("GOOGLEFINANCE(A354,""low52"")"),89.71)</f>
        <v>89.71</v>
      </c>
      <c r="M354" s="7">
        <f t="shared" ca="1" si="0"/>
        <v>45379.717931597224</v>
      </c>
    </row>
    <row r="355" spans="1:13">
      <c r="A355" s="4" t="s">
        <v>366</v>
      </c>
      <c r="B355" s="5" t="str">
        <f ca="1">IFERROR(__xludf.DUMMYFUNCTION("GoogleFinance(A355, ""name"")"),"O'Reilly Automotive Inc")</f>
        <v>O'Reilly Automotive Inc</v>
      </c>
      <c r="C355" s="15">
        <f ca="1">IFERROR(__xludf.DUMMYFUNCTION("GoogleFinance(A355, ""price"")"),1128.88)</f>
        <v>1128.8800000000001</v>
      </c>
      <c r="D355" s="6">
        <f ca="1">IFERROR(__xludf.DUMMYFUNCTION("GoogleFinance(A355, ""eps"")"),38.47)</f>
        <v>38.47</v>
      </c>
      <c r="E355" s="6">
        <f ca="1">IFERROR(__xludf.DUMMYFUNCTION("GOOGLEFINANCE(A355,""pe"")"),29.34)</f>
        <v>29.34</v>
      </c>
      <c r="F355" s="6">
        <f ca="1">IFERROR(__xludf.DUMMYFUNCTION("GoogleFinance(A355, ""beta"")"),0.86)</f>
        <v>0.86</v>
      </c>
      <c r="G355" s="13">
        <f ca="1">IFERROR(__xludf.DUMMYFUNCTION("GOOGLEFINANCE(A355,""shares"")"),59037000)</f>
        <v>59037000</v>
      </c>
      <c r="H355" s="10">
        <f ca="1">IFERROR(__xludf.DUMMYFUNCTION("GOOGLEFINANCE(A355,""marketcap"")"),66645226007)</f>
        <v>66645226007</v>
      </c>
      <c r="I355" s="13">
        <f ca="1">IFERROR(__xludf.DUMMYFUNCTION("GOOGLEFINANCE(A355,""volume"")"),292987)</f>
        <v>292987</v>
      </c>
      <c r="J355" s="13">
        <f ca="1">IFERROR(__xludf.DUMMYFUNCTION("GOOGLEFINANCE(A355,""volumeavg"")"),332676)</f>
        <v>332676</v>
      </c>
      <c r="K355" s="15">
        <f ca="1">IFERROR(__xludf.DUMMYFUNCTION("GOOGLEFINANCE(A355,""high52"")"),1169.11)</f>
        <v>1169.1099999999999</v>
      </c>
      <c r="L355" s="15">
        <f ca="1">IFERROR(__xludf.DUMMYFUNCTION("GOOGLEFINANCE(A355,""low52"")"),821.62)</f>
        <v>821.62</v>
      </c>
      <c r="M355" s="7">
        <f t="shared" ca="1" si="0"/>
        <v>45379.717931597224</v>
      </c>
    </row>
    <row r="356" spans="1:13">
      <c r="A356" s="4" t="s">
        <v>367</v>
      </c>
      <c r="B356" s="5" t="str">
        <f ca="1">IFERROR(__xludf.DUMMYFUNCTION("GoogleFinance(A356, ""name"")"),"Otis Worldwide Corp")</f>
        <v>Otis Worldwide Corp</v>
      </c>
      <c r="C356" s="15">
        <f ca="1">IFERROR(__xludf.DUMMYFUNCTION("GoogleFinance(A356, ""price"")"),99.27)</f>
        <v>99.27</v>
      </c>
      <c r="D356" s="6">
        <f ca="1">IFERROR(__xludf.DUMMYFUNCTION("GoogleFinance(A356, ""eps"")"),3.39)</f>
        <v>3.39</v>
      </c>
      <c r="E356" s="6">
        <f ca="1">IFERROR(__xludf.DUMMYFUNCTION("GOOGLEFINANCE(A356,""pe"")"),29.27)</f>
        <v>29.27</v>
      </c>
      <c r="F356" s="6">
        <f ca="1">IFERROR(__xludf.DUMMYFUNCTION("GoogleFinance(A356, ""beta"")"),0.91)</f>
        <v>0.91</v>
      </c>
      <c r="G356" s="13">
        <f ca="1">IFERROR(__xludf.DUMMYFUNCTION("GOOGLEFINANCE(A356,""shares"")"),405455000)</f>
        <v>405455000</v>
      </c>
      <c r="H356" s="10">
        <f ca="1">IFERROR(__xludf.DUMMYFUNCTION("GOOGLEFINANCE(A356,""marketcap"")"),40249476780)</f>
        <v>40249476780</v>
      </c>
      <c r="I356" s="13">
        <f ca="1">IFERROR(__xludf.DUMMYFUNCTION("GOOGLEFINANCE(A356,""volume"")"),1587451)</f>
        <v>1587451</v>
      </c>
      <c r="J356" s="13">
        <f ca="1">IFERROR(__xludf.DUMMYFUNCTION("GOOGLEFINANCE(A356,""volumeavg"")"),1883344)</f>
        <v>1883344</v>
      </c>
      <c r="K356" s="15">
        <f ca="1">IFERROR(__xludf.DUMMYFUNCTION("GOOGLEFINANCE(A356,""high52"")"),100.35)</f>
        <v>100.35</v>
      </c>
      <c r="L356" s="15">
        <f ca="1">IFERROR(__xludf.DUMMYFUNCTION("GOOGLEFINANCE(A356,""low52"")"),73.32)</f>
        <v>73.319999999999993</v>
      </c>
      <c r="M356" s="7">
        <f t="shared" ca="1" si="0"/>
        <v>45379.717931597224</v>
      </c>
    </row>
    <row r="357" spans="1:13">
      <c r="A357" s="4" t="s">
        <v>368</v>
      </c>
      <c r="B357" s="5" t="str">
        <f ca="1">IFERROR(__xludf.DUMMYFUNCTION("GoogleFinance(A357, ""name"")"),"Occidental Petroleum Corp")</f>
        <v>Occidental Petroleum Corp</v>
      </c>
      <c r="C357" s="15">
        <f ca="1">IFERROR(__xludf.DUMMYFUNCTION("GoogleFinance(A357, ""price"")"),64.99)</f>
        <v>64.989999999999995</v>
      </c>
      <c r="D357" s="6">
        <f ca="1">IFERROR(__xludf.DUMMYFUNCTION("GoogleFinance(A357, ""eps"")"),3.93)</f>
        <v>3.93</v>
      </c>
      <c r="E357" s="6">
        <f ca="1">IFERROR(__xludf.DUMMYFUNCTION("GOOGLEFINANCE(A357,""pe"")"),16.55)</f>
        <v>16.55</v>
      </c>
      <c r="F357" s="6">
        <f ca="1">IFERROR(__xludf.DUMMYFUNCTION("GoogleFinance(A357, ""beta"")"),1.63)</f>
        <v>1.63</v>
      </c>
      <c r="G357" s="13">
        <f ca="1">IFERROR(__xludf.DUMMYFUNCTION("GOOGLEFINANCE(A357,""shares"")"),879499000)</f>
        <v>879499000</v>
      </c>
      <c r="H357" s="10">
        <f ca="1">IFERROR(__xludf.DUMMYFUNCTION("GOOGLEFINANCE(A357,""marketcap"")"),57611338959)</f>
        <v>57611338959</v>
      </c>
      <c r="I357" s="13">
        <f ca="1">IFERROR(__xludf.DUMMYFUNCTION("GOOGLEFINANCE(A357,""volume"")"),7159363)</f>
        <v>7159363</v>
      </c>
      <c r="J357" s="13">
        <f ca="1">IFERROR(__xludf.DUMMYFUNCTION("GOOGLEFINANCE(A357,""volumeavg"")"),8257285)</f>
        <v>8257285</v>
      </c>
      <c r="K357" s="15">
        <f ca="1">IFERROR(__xludf.DUMMYFUNCTION("GOOGLEFINANCE(A357,""high52"")"),67.67)</f>
        <v>67.67</v>
      </c>
      <c r="L357" s="15">
        <f ca="1">IFERROR(__xludf.DUMMYFUNCTION("GOOGLEFINANCE(A357,""low52"")"),55.12)</f>
        <v>55.12</v>
      </c>
      <c r="M357" s="7">
        <f t="shared" ca="1" si="0"/>
        <v>45379.717931597224</v>
      </c>
    </row>
    <row r="358" spans="1:13">
      <c r="A358" s="4" t="s">
        <v>369</v>
      </c>
      <c r="B358" s="5" t="str">
        <f ca="1">IFERROR(__xludf.DUMMYFUNCTION("GoogleFinance(A358, ""name"")"),"Palo Alto Networks Inc")</f>
        <v>Palo Alto Networks Inc</v>
      </c>
      <c r="C358" s="15">
        <f ca="1">IFERROR(__xludf.DUMMYFUNCTION("GoogleFinance(A358, ""price"")"),284.13)</f>
        <v>284.13</v>
      </c>
      <c r="D358" s="6">
        <f ca="1">IFERROR(__xludf.DUMMYFUNCTION("GoogleFinance(A358, ""eps"")"),6.4)</f>
        <v>6.4</v>
      </c>
      <c r="E358" s="6">
        <f ca="1">IFERROR(__xludf.DUMMYFUNCTION("GOOGLEFINANCE(A358,""pe"")"),44.42)</f>
        <v>44.42</v>
      </c>
      <c r="F358" s="6">
        <f ca="1">IFERROR(__xludf.DUMMYFUNCTION("GoogleFinance(A358, ""beta"")"),1.21)</f>
        <v>1.21</v>
      </c>
      <c r="G358" s="13">
        <f ca="1">IFERROR(__xludf.DUMMYFUNCTION("GOOGLEFINANCE(A358,""shares"")"),323100000)</f>
        <v>323100000</v>
      </c>
      <c r="H358" s="10">
        <f ca="1">IFERROR(__xludf.DUMMYFUNCTION("GOOGLEFINANCE(A358,""marketcap"")"),91802376164)</f>
        <v>91802376164</v>
      </c>
      <c r="I358" s="13">
        <f ca="1">IFERROR(__xludf.DUMMYFUNCTION("GOOGLEFINANCE(A358,""volume"")"),3400184)</f>
        <v>3400184</v>
      </c>
      <c r="J358" s="13">
        <f ca="1">IFERROR(__xludf.DUMMYFUNCTION("GOOGLEFINANCE(A358,""volumeavg"")"),8993533)</f>
        <v>8993533</v>
      </c>
      <c r="K358" s="15">
        <f ca="1">IFERROR(__xludf.DUMMYFUNCTION("GOOGLEFINANCE(A358,""high52"")"),380.84)</f>
        <v>380.84</v>
      </c>
      <c r="L358" s="15">
        <f ca="1">IFERROR(__xludf.DUMMYFUNCTION("GOOGLEFINANCE(A358,""low52"")"),176.3)</f>
        <v>176.3</v>
      </c>
      <c r="M358" s="7">
        <f t="shared" ca="1" si="0"/>
        <v>45379.717931597224</v>
      </c>
    </row>
    <row r="359" spans="1:13">
      <c r="A359" s="4" t="s">
        <v>370</v>
      </c>
      <c r="B359" s="5" t="str">
        <f ca="1">IFERROR(__xludf.DUMMYFUNCTION("GoogleFinance(A359, ""name"")"),"Paramount Global Class B")</f>
        <v>Paramount Global Class B</v>
      </c>
      <c r="C359" s="15">
        <f ca="1">IFERROR(__xludf.DUMMYFUNCTION("GoogleFinance(A359, ""price"")"),11.77)</f>
        <v>11.77</v>
      </c>
      <c r="D359" s="6">
        <f ca="1">IFERROR(__xludf.DUMMYFUNCTION("GoogleFinance(A359, ""eps"")"),-2.06)</f>
        <v>-2.06</v>
      </c>
      <c r="E359" s="6" t="str">
        <f ca="1">IFERROR(__xludf.DUMMYFUNCTION("GOOGLEFINANCE(A359,""pe"")"),"#N/A")</f>
        <v>#N/A</v>
      </c>
      <c r="F359" s="6">
        <f ca="1">IFERROR(__xludf.DUMMYFUNCTION("GoogleFinance(A359, ""beta"")"),1.77)</f>
        <v>1.77</v>
      </c>
      <c r="G359" s="13">
        <f ca="1">IFERROR(__xludf.DUMMYFUNCTION("GOOGLEFINANCE(A359,""shares"")"),611782000)</f>
        <v>611782000</v>
      </c>
      <c r="H359" s="10">
        <f ca="1">IFERROR(__xludf.DUMMYFUNCTION("GOOGLEFINANCE(A359,""marketcap"")"),8109684502)</f>
        <v>8109684502</v>
      </c>
      <c r="I359" s="13">
        <f ca="1">IFERROR(__xludf.DUMMYFUNCTION("GOOGLEFINANCE(A359,""volume"")"),9848705)</f>
        <v>9848705</v>
      </c>
      <c r="J359" s="13">
        <f ca="1">IFERROR(__xludf.DUMMYFUNCTION("GOOGLEFINANCE(A359,""volumeavg"")"),18769621)</f>
        <v>18769621</v>
      </c>
      <c r="K359" s="15">
        <f ca="1">IFERROR(__xludf.DUMMYFUNCTION("GOOGLEFINANCE(A359,""high52"")"),24)</f>
        <v>24</v>
      </c>
      <c r="L359" s="15">
        <f ca="1">IFERROR(__xludf.DUMMYFUNCTION("GOOGLEFINANCE(A359,""low52"")"),10.16)</f>
        <v>10.16</v>
      </c>
      <c r="M359" s="7">
        <f t="shared" ca="1" si="0"/>
        <v>45379.717931597224</v>
      </c>
    </row>
    <row r="360" spans="1:13">
      <c r="A360" s="4" t="s">
        <v>371</v>
      </c>
      <c r="B360" s="5" t="str">
        <f ca="1">IFERROR(__xludf.DUMMYFUNCTION("GoogleFinance(A360, ""name"")"),"Paycom Software Inc")</f>
        <v>Paycom Software Inc</v>
      </c>
      <c r="C360" s="15">
        <f ca="1">IFERROR(__xludf.DUMMYFUNCTION("GoogleFinance(A360, ""price"")"),199.01)</f>
        <v>199.01</v>
      </c>
      <c r="D360" s="6">
        <f ca="1">IFERROR(__xludf.DUMMYFUNCTION("GoogleFinance(A360, ""eps"")"),5.88)</f>
        <v>5.88</v>
      </c>
      <c r="E360" s="6">
        <f ca="1">IFERROR(__xludf.DUMMYFUNCTION("GOOGLEFINANCE(A360,""pe"")"),33.86)</f>
        <v>33.86</v>
      </c>
      <c r="F360" s="6">
        <f ca="1">IFERROR(__xludf.DUMMYFUNCTION("GoogleFinance(A360, ""beta"")"),1.16)</f>
        <v>1.1599999999999999</v>
      </c>
      <c r="G360" s="13">
        <f ca="1">IFERROR(__xludf.DUMMYFUNCTION("GOOGLEFINANCE(A360,""shares"")"),57551000)</f>
        <v>57551000</v>
      </c>
      <c r="H360" s="10">
        <f ca="1">IFERROR(__xludf.DUMMYFUNCTION("GOOGLEFINANCE(A360,""marketcap"")"),11453305787)</f>
        <v>11453305787</v>
      </c>
      <c r="I360" s="13">
        <f ca="1">IFERROR(__xludf.DUMMYFUNCTION("GOOGLEFINANCE(A360,""volume"")"),750657)</f>
        <v>750657</v>
      </c>
      <c r="J360" s="13">
        <f ca="1">IFERROR(__xludf.DUMMYFUNCTION("GOOGLEFINANCE(A360,""volumeavg"")"),823962)</f>
        <v>823962</v>
      </c>
      <c r="K360" s="15">
        <f ca="1">IFERROR(__xludf.DUMMYFUNCTION("GOOGLEFINANCE(A360,""high52"")"),374.04)</f>
        <v>374.04</v>
      </c>
      <c r="L360" s="15">
        <f ca="1">IFERROR(__xludf.DUMMYFUNCTION("GOOGLEFINANCE(A360,""low52"")"),146.15)</f>
        <v>146.15</v>
      </c>
      <c r="M360" s="7">
        <f t="shared" ca="1" si="0"/>
        <v>45379.717931597224</v>
      </c>
    </row>
    <row r="361" spans="1:13">
      <c r="A361" s="4" t="s">
        <v>372</v>
      </c>
      <c r="B361" s="5" t="str">
        <f ca="1">IFERROR(__xludf.DUMMYFUNCTION("GoogleFinance(A361, ""name"")"),"Paychex Inc")</f>
        <v>Paychex Inc</v>
      </c>
      <c r="C361" s="15">
        <f ca="1">IFERROR(__xludf.DUMMYFUNCTION("GoogleFinance(A361, ""price"")"),122.8)</f>
        <v>122.8</v>
      </c>
      <c r="D361" s="6">
        <f ca="1">IFERROR(__xludf.DUMMYFUNCTION("GoogleFinance(A361, ""eps"")"),4.5)</f>
        <v>4.5</v>
      </c>
      <c r="E361" s="6">
        <f ca="1">IFERROR(__xludf.DUMMYFUNCTION("GOOGLEFINANCE(A361,""pe"")"),27.31)</f>
        <v>27.31</v>
      </c>
      <c r="F361" s="6">
        <f ca="1">IFERROR(__xludf.DUMMYFUNCTION("GoogleFinance(A361, ""beta"")"),0.94)</f>
        <v>0.94</v>
      </c>
      <c r="G361" s="13">
        <f ca="1">IFERROR(__xludf.DUMMYFUNCTION("GOOGLEFINANCE(A361,""shares"")"),359822000)</f>
        <v>359822000</v>
      </c>
      <c r="H361" s="10">
        <f ca="1">IFERROR(__xludf.DUMMYFUNCTION("GOOGLEFINANCE(A361,""marketcap"")"),44186118138)</f>
        <v>44186118138</v>
      </c>
      <c r="I361" s="13">
        <f ca="1">IFERROR(__xludf.DUMMYFUNCTION("GOOGLEFINANCE(A361,""volume"")"),1618308)</f>
        <v>1618308</v>
      </c>
      <c r="J361" s="13">
        <f ca="1">IFERROR(__xludf.DUMMYFUNCTION("GOOGLEFINANCE(A361,""volumeavg"")"),1651195)</f>
        <v>1651195</v>
      </c>
      <c r="K361" s="15">
        <f ca="1">IFERROR(__xludf.DUMMYFUNCTION("GOOGLEFINANCE(A361,""high52"")"),129.7)</f>
        <v>129.69999999999999</v>
      </c>
      <c r="L361" s="15">
        <f ca="1">IFERROR(__xludf.DUMMYFUNCTION("GOOGLEFINANCE(A361,""low52"")"),104.09)</f>
        <v>104.09</v>
      </c>
      <c r="M361" s="7">
        <f t="shared" ca="1" si="0"/>
        <v>45379.717931597224</v>
      </c>
    </row>
    <row r="362" spans="1:13">
      <c r="A362" s="4" t="s">
        <v>373</v>
      </c>
      <c r="B362" s="5" t="str">
        <f ca="1">IFERROR(__xludf.DUMMYFUNCTION("GoogleFinance(A362, ""name"")"),"PACCAR Inc")</f>
        <v>PACCAR Inc</v>
      </c>
      <c r="C362" s="15">
        <f ca="1">IFERROR(__xludf.DUMMYFUNCTION("GoogleFinance(A362, ""price"")"),123.89)</f>
        <v>123.89</v>
      </c>
      <c r="D362" s="6">
        <f ca="1">IFERROR(__xludf.DUMMYFUNCTION("GoogleFinance(A362, ""eps"")"),8.76)</f>
        <v>8.76</v>
      </c>
      <c r="E362" s="6">
        <f ca="1">IFERROR(__xludf.DUMMYFUNCTION("GOOGLEFINANCE(A362,""pe"")"),14.14)</f>
        <v>14.14</v>
      </c>
      <c r="F362" s="6">
        <f ca="1">IFERROR(__xludf.DUMMYFUNCTION("GoogleFinance(A362, ""beta"")"),0.9)</f>
        <v>0.9</v>
      </c>
      <c r="G362" s="13">
        <f ca="1">IFERROR(__xludf.DUMMYFUNCTION("GOOGLEFINANCE(A362,""shares"")"),523884000)</f>
        <v>523884000</v>
      </c>
      <c r="H362" s="10">
        <f ca="1">IFERROR(__xludf.DUMMYFUNCTION("GOOGLEFINANCE(A362,""marketcap"")"),64919685303)</f>
        <v>64919685303</v>
      </c>
      <c r="I362" s="13">
        <f ca="1">IFERROR(__xludf.DUMMYFUNCTION("GOOGLEFINANCE(A362,""volume"")"),2280845)</f>
        <v>2280845</v>
      </c>
      <c r="J362" s="13">
        <f ca="1">IFERROR(__xludf.DUMMYFUNCTION("GOOGLEFINANCE(A362,""volumeavg"")"),2304855)</f>
        <v>2304855</v>
      </c>
      <c r="K362" s="15">
        <f ca="1">IFERROR(__xludf.DUMMYFUNCTION("GOOGLEFINANCE(A362,""high52"")"),125.5)</f>
        <v>125.5</v>
      </c>
      <c r="L362" s="15">
        <f ca="1">IFERROR(__xludf.DUMMYFUNCTION("GOOGLEFINANCE(A362,""low52"")"),67.48)</f>
        <v>67.48</v>
      </c>
      <c r="M362" s="7">
        <f t="shared" ca="1" si="0"/>
        <v>45379.717931597224</v>
      </c>
    </row>
    <row r="363" spans="1:13">
      <c r="A363" s="4" t="s">
        <v>374</v>
      </c>
      <c r="B363" s="5" t="str">
        <f ca="1">IFERROR(__xludf.DUMMYFUNCTION("GoogleFinance(A363, ""name"")"),"PG&amp;E Corp")</f>
        <v>PG&amp;E Corp</v>
      </c>
      <c r="C363" s="15">
        <f ca="1">IFERROR(__xludf.DUMMYFUNCTION("GoogleFinance(A363, ""price"")"),16.76)</f>
        <v>16.760000000000002</v>
      </c>
      <c r="D363" s="6">
        <f ca="1">IFERROR(__xludf.DUMMYFUNCTION("GoogleFinance(A363, ""eps"")"),1.05)</f>
        <v>1.05</v>
      </c>
      <c r="E363" s="6">
        <f ca="1">IFERROR(__xludf.DUMMYFUNCTION("GOOGLEFINANCE(A363,""pe"")"),15.98)</f>
        <v>15.98</v>
      </c>
      <c r="F363" s="6">
        <f ca="1">IFERROR(__xludf.DUMMYFUNCTION("GoogleFinance(A363, ""beta"")"),1.32)</f>
        <v>1.32</v>
      </c>
      <c r="G363" s="13">
        <f ca="1">IFERROR(__xludf.DUMMYFUNCTION("GOOGLEFINANCE(A363,""shares"")"),2133623000)</f>
        <v>2133623000</v>
      </c>
      <c r="H363" s="10">
        <f ca="1">IFERROR(__xludf.DUMMYFUNCTION("GOOGLEFINANCE(A363,""marketcap"")"),35759521968)</f>
        <v>35759521968</v>
      </c>
      <c r="I363" s="13">
        <f ca="1">IFERROR(__xludf.DUMMYFUNCTION("GOOGLEFINANCE(A363,""volume"")"),17031655)</f>
        <v>17031655</v>
      </c>
      <c r="J363" s="13">
        <f ca="1">IFERROR(__xludf.DUMMYFUNCTION("GOOGLEFINANCE(A363,""volumeavg"")"),15021574)</f>
        <v>15021574</v>
      </c>
      <c r="K363" s="15">
        <f ca="1">IFERROR(__xludf.DUMMYFUNCTION("GOOGLEFINANCE(A363,""high52"")"),18.32)</f>
        <v>18.32</v>
      </c>
      <c r="L363" s="15">
        <f ca="1">IFERROR(__xludf.DUMMYFUNCTION("GOOGLEFINANCE(A363,""low52"")"),14.71)</f>
        <v>14.71</v>
      </c>
      <c r="M363" s="7">
        <f t="shared" ca="1" si="0"/>
        <v>45379.717931597224</v>
      </c>
    </row>
    <row r="364" spans="1:13">
      <c r="A364" s="4" t="s">
        <v>375</v>
      </c>
      <c r="B364" s="5" t="str">
        <f ca="1">IFERROR(__xludf.DUMMYFUNCTION("GoogleFinance(A364, ""name"")"),"Sun Peak Metals Corp")</f>
        <v>Sun Peak Metals Corp</v>
      </c>
      <c r="C364" s="15">
        <f ca="1">IFERROR(__xludf.DUMMYFUNCTION("GoogleFinance(A364, ""price"")"),0.47)</f>
        <v>0.47</v>
      </c>
      <c r="D364" s="6">
        <f ca="1">IFERROR(__xludf.DUMMYFUNCTION("GoogleFinance(A364, ""eps"")"),-0.02)</f>
        <v>-0.02</v>
      </c>
      <c r="E364" s="6" t="str">
        <f ca="1">IFERROR(__xludf.DUMMYFUNCTION("GOOGLEFINANCE(A364,""pe"")"),"#N/A")</f>
        <v>#N/A</v>
      </c>
      <c r="F364" s="6">
        <f ca="1">IFERROR(__xludf.DUMMYFUNCTION("GoogleFinance(A364, ""beta"")"),1.25)</f>
        <v>1.25</v>
      </c>
      <c r="G364" s="13">
        <f ca="1">IFERROR(__xludf.DUMMYFUNCTION("GOOGLEFINANCE(A364,""shares"")"),87099000)</f>
        <v>87099000</v>
      </c>
      <c r="H364" s="10">
        <f ca="1">IFERROR(__xludf.DUMMYFUNCTION("GOOGLEFINANCE(A364,""marketcap"")"),40936351)</f>
        <v>40936351</v>
      </c>
      <c r="I364" s="13">
        <f ca="1">IFERROR(__xludf.DUMMYFUNCTION("GOOGLEFINANCE(A364,""volume"")"),31500)</f>
        <v>31500</v>
      </c>
      <c r="J364" s="13">
        <f ca="1">IFERROR(__xludf.DUMMYFUNCTION("GOOGLEFINANCE(A364,""volumeavg"")"),37336)</f>
        <v>37336</v>
      </c>
      <c r="K364" s="15">
        <f ca="1">IFERROR(__xludf.DUMMYFUNCTION("GOOGLEFINANCE(A364,""high52"")"),0.55)</f>
        <v>0.55000000000000004</v>
      </c>
      <c r="L364" s="15">
        <f ca="1">IFERROR(__xludf.DUMMYFUNCTION("GOOGLEFINANCE(A364,""low52"")"),0.14)</f>
        <v>0.14000000000000001</v>
      </c>
      <c r="M364" s="7">
        <f t="shared" ca="1" si="0"/>
        <v>45379.717931597224</v>
      </c>
    </row>
    <row r="365" spans="1:13">
      <c r="A365" s="4" t="s">
        <v>376</v>
      </c>
      <c r="B365" s="5" t="str">
        <f ca="1">IFERROR(__xludf.DUMMYFUNCTION("GoogleFinance(A365, ""name"")"),"Public Service Enterprise Group Inc.")</f>
        <v>Public Service Enterprise Group Inc.</v>
      </c>
      <c r="C365" s="15">
        <f ca="1">IFERROR(__xludf.DUMMYFUNCTION("GoogleFinance(A365, ""price"")"),66.78)</f>
        <v>66.78</v>
      </c>
      <c r="D365" s="6">
        <f ca="1">IFERROR(__xludf.DUMMYFUNCTION("GoogleFinance(A365, ""eps"")"),5.13)</f>
        <v>5.13</v>
      </c>
      <c r="E365" s="6">
        <f ca="1">IFERROR(__xludf.DUMMYFUNCTION("GOOGLEFINANCE(A365,""pe"")"),13.03)</f>
        <v>13.03</v>
      </c>
      <c r="F365" s="6">
        <f ca="1">IFERROR(__xludf.DUMMYFUNCTION("GoogleFinance(A365, ""beta"")"),0.57)</f>
        <v>0.56999999999999995</v>
      </c>
      <c r="G365" s="13">
        <f ca="1">IFERROR(__xludf.DUMMYFUNCTION("GOOGLEFINANCE(A365,""shares"")"),498587000)</f>
        <v>498587000</v>
      </c>
      <c r="H365" s="10">
        <f ca="1">IFERROR(__xludf.DUMMYFUNCTION("GOOGLEFINANCE(A365,""marketcap"")"),33295612539)</f>
        <v>33295612539</v>
      </c>
      <c r="I365" s="13">
        <f ca="1">IFERROR(__xludf.DUMMYFUNCTION("GOOGLEFINANCE(A365,""volume"")"),3051423)</f>
        <v>3051423</v>
      </c>
      <c r="J365" s="13">
        <f ca="1">IFERROR(__xludf.DUMMYFUNCTION("GOOGLEFINANCE(A365,""volumeavg"")"),3112725)</f>
        <v>3112725</v>
      </c>
      <c r="K365" s="15">
        <f ca="1">IFERROR(__xludf.DUMMYFUNCTION("GOOGLEFINANCE(A365,""high52"")"),67.02)</f>
        <v>67.02</v>
      </c>
      <c r="L365" s="15">
        <f ca="1">IFERROR(__xludf.DUMMYFUNCTION("GOOGLEFINANCE(A365,""low52"")"),53.71)</f>
        <v>53.71</v>
      </c>
      <c r="M365" s="7">
        <f t="shared" ca="1" si="0"/>
        <v>45379.717931597224</v>
      </c>
    </row>
    <row r="366" spans="1:13">
      <c r="A366" s="4" t="s">
        <v>377</v>
      </c>
      <c r="B366" s="5" t="str">
        <f ca="1">IFERROR(__xludf.DUMMYFUNCTION("GoogleFinance(A366, ""name"")"),"PepsiCo Inc")</f>
        <v>PepsiCo Inc</v>
      </c>
      <c r="C366" s="15">
        <f ca="1">IFERROR(__xludf.DUMMYFUNCTION("GoogleFinance(A366, ""price"")"),175.01)</f>
        <v>175.01</v>
      </c>
      <c r="D366" s="6">
        <f ca="1">IFERROR(__xludf.DUMMYFUNCTION("GoogleFinance(A366, ""eps"")"),6.56)</f>
        <v>6.56</v>
      </c>
      <c r="E366" s="6">
        <f ca="1">IFERROR(__xludf.DUMMYFUNCTION("GOOGLEFINANCE(A366,""pe"")"),26.67)</f>
        <v>26.67</v>
      </c>
      <c r="F366" s="6">
        <f ca="1">IFERROR(__xludf.DUMMYFUNCTION("GoogleFinance(A366, ""beta"")"),0.53)</f>
        <v>0.53</v>
      </c>
      <c r="G366" s="13">
        <f ca="1">IFERROR(__xludf.DUMMYFUNCTION("GOOGLEFINANCE(A366,""shares"")"),1374429000)</f>
        <v>1374429000</v>
      </c>
      <c r="H366" s="10">
        <f ca="1">IFERROR(__xludf.DUMMYFUNCTION("GOOGLEFINANCE(A366,""marketcap"")"),240552637529)</f>
        <v>240552637529</v>
      </c>
      <c r="I366" s="13">
        <f ca="1">IFERROR(__xludf.DUMMYFUNCTION("GOOGLEFINANCE(A366,""volume"")"),5710534)</f>
        <v>5710534</v>
      </c>
      <c r="J366" s="13">
        <f ca="1">IFERROR(__xludf.DUMMYFUNCTION("GOOGLEFINANCE(A366,""volumeavg"")"),6124497)</f>
        <v>6124497</v>
      </c>
      <c r="K366" s="15">
        <f ca="1">IFERROR(__xludf.DUMMYFUNCTION("GOOGLEFINANCE(A366,""high52"")"),196.88)</f>
        <v>196.88</v>
      </c>
      <c r="L366" s="15">
        <f ca="1">IFERROR(__xludf.DUMMYFUNCTION("GOOGLEFINANCE(A366,""low52"")"),155.83)</f>
        <v>155.83000000000001</v>
      </c>
      <c r="M366" s="7">
        <f t="shared" ca="1" si="0"/>
        <v>45379.717931597224</v>
      </c>
    </row>
    <row r="367" spans="1:13">
      <c r="A367" s="4" t="s">
        <v>378</v>
      </c>
      <c r="B367" s="5" t="str">
        <f ca="1">IFERROR(__xludf.DUMMYFUNCTION("GoogleFinance(A367, ""name"")"),"Pfizer Inc")</f>
        <v>Pfizer Inc</v>
      </c>
      <c r="C367" s="15">
        <f ca="1">IFERROR(__xludf.DUMMYFUNCTION("GoogleFinance(A367, ""price"")"),27.75)</f>
        <v>27.75</v>
      </c>
      <c r="D367" s="6">
        <f ca="1">IFERROR(__xludf.DUMMYFUNCTION("GoogleFinance(A367, ""eps"")"),0.37)</f>
        <v>0.37</v>
      </c>
      <c r="E367" s="6">
        <f ca="1">IFERROR(__xludf.DUMMYFUNCTION("GOOGLEFINANCE(A367,""pe"")"),74.24)</f>
        <v>74.239999999999995</v>
      </c>
      <c r="F367" s="6">
        <f ca="1">IFERROR(__xludf.DUMMYFUNCTION("GoogleFinance(A367, ""beta"")"),0.61)</f>
        <v>0.61</v>
      </c>
      <c r="G367" s="13">
        <f ca="1">IFERROR(__xludf.DUMMYFUNCTION("GOOGLEFINANCE(A367,""shares"")"),5646778000)</f>
        <v>5646778000</v>
      </c>
      <c r="H367" s="10">
        <f ca="1">IFERROR(__xludf.DUMMYFUNCTION("GOOGLEFINANCE(A367,""marketcap"")"),157135512750)</f>
        <v>157135512750</v>
      </c>
      <c r="I367" s="13">
        <f ca="1">IFERROR(__xludf.DUMMYFUNCTION("GOOGLEFINANCE(A367,""volume"")"),40457052)</f>
        <v>40457052</v>
      </c>
      <c r="J367" s="13">
        <f ca="1">IFERROR(__xludf.DUMMYFUNCTION("GOOGLEFINANCE(A367,""volumeavg"")"),41945527)</f>
        <v>41945527</v>
      </c>
      <c r="K367" s="15">
        <f ca="1">IFERROR(__xludf.DUMMYFUNCTION("GOOGLEFINANCE(A367,""high52"")"),42.22)</f>
        <v>42.22</v>
      </c>
      <c r="L367" s="15">
        <f ca="1">IFERROR(__xludf.DUMMYFUNCTION("GOOGLEFINANCE(A367,""low52"")"),25.61)</f>
        <v>25.61</v>
      </c>
      <c r="M367" s="7">
        <f t="shared" ca="1" si="0"/>
        <v>45379.717931597224</v>
      </c>
    </row>
    <row r="368" spans="1:13">
      <c r="A368" s="4" t="s">
        <v>379</v>
      </c>
      <c r="B368" s="5" t="str">
        <f ca="1">IFERROR(__xludf.DUMMYFUNCTION("GoogleFinance(A368, ""name"")"),"Principal Financial Group Inc")</f>
        <v>Principal Financial Group Inc</v>
      </c>
      <c r="C368" s="15">
        <f ca="1">IFERROR(__xludf.DUMMYFUNCTION("GoogleFinance(A368, ""price"")"),86.31)</f>
        <v>86.31</v>
      </c>
      <c r="D368" s="6">
        <f ca="1">IFERROR(__xludf.DUMMYFUNCTION("GoogleFinance(A368, ""eps"")"),2.55)</f>
        <v>2.5499999999999998</v>
      </c>
      <c r="E368" s="6">
        <f ca="1">IFERROR(__xludf.DUMMYFUNCTION("GOOGLEFINANCE(A368,""pe"")"),33.88)</f>
        <v>33.880000000000003</v>
      </c>
      <c r="F368" s="6">
        <f ca="1">IFERROR(__xludf.DUMMYFUNCTION("GoogleFinance(A368, ""beta"")"),1.24)</f>
        <v>1.24</v>
      </c>
      <c r="G368" s="13">
        <f ca="1">IFERROR(__xludf.DUMMYFUNCTION("GOOGLEFINANCE(A368,""shares"")"),235868000)</f>
        <v>235868000</v>
      </c>
      <c r="H368" s="10">
        <f ca="1">IFERROR(__xludf.DUMMYFUNCTION("GOOGLEFINANCE(A368,""marketcap"")"),20357801028)</f>
        <v>20357801028</v>
      </c>
      <c r="I368" s="13">
        <f ca="1">IFERROR(__xludf.DUMMYFUNCTION("GOOGLEFINANCE(A368,""volume"")"),978241)</f>
        <v>978241</v>
      </c>
      <c r="J368" s="13">
        <f ca="1">IFERROR(__xludf.DUMMYFUNCTION("GOOGLEFINANCE(A368,""volumeavg"")"),1397608)</f>
        <v>1397608</v>
      </c>
      <c r="K368" s="15">
        <f ca="1">IFERROR(__xludf.DUMMYFUNCTION("GOOGLEFINANCE(A368,""high52"")"),86.77)</f>
        <v>86.77</v>
      </c>
      <c r="L368" s="15">
        <f ca="1">IFERROR(__xludf.DUMMYFUNCTION("GOOGLEFINANCE(A368,""low52"")"),65.17)</f>
        <v>65.17</v>
      </c>
      <c r="M368" s="7">
        <f t="shared" ca="1" si="0"/>
        <v>45379.717931597224</v>
      </c>
    </row>
    <row r="369" spans="1:13">
      <c r="A369" s="4" t="s">
        <v>380</v>
      </c>
      <c r="B369" s="5" t="str">
        <f ca="1">IFERROR(__xludf.DUMMYFUNCTION("GoogleFinance(A369, ""name"")"),"Procter &amp; Gamble Co")</f>
        <v>Procter &amp; Gamble Co</v>
      </c>
      <c r="C369" s="15">
        <f ca="1">IFERROR(__xludf.DUMMYFUNCTION("GoogleFinance(A369, ""price"")"),162.25)</f>
        <v>162.25</v>
      </c>
      <c r="D369" s="6">
        <f ca="1">IFERROR(__xludf.DUMMYFUNCTION("GoogleFinance(A369, ""eps"")"),5.97)</f>
        <v>5.97</v>
      </c>
      <c r="E369" s="6">
        <f ca="1">IFERROR(__xludf.DUMMYFUNCTION("GOOGLEFINANCE(A369,""pe"")"),27.17)</f>
        <v>27.17</v>
      </c>
      <c r="F369" s="6">
        <f ca="1">IFERROR(__xludf.DUMMYFUNCTION("GoogleFinance(A369, ""beta"")"),0.44)</f>
        <v>0.44</v>
      </c>
      <c r="G369" s="13">
        <f ca="1">IFERROR(__xludf.DUMMYFUNCTION("GOOGLEFINANCE(A369,""shares"")"),2353021000)</f>
        <v>2353021000</v>
      </c>
      <c r="H369" s="10">
        <f ca="1">IFERROR(__xludf.DUMMYFUNCTION("GOOGLEFINANCE(A369,""marketcap"")"),381777657250)</f>
        <v>381777657250</v>
      </c>
      <c r="I369" s="13">
        <f ca="1">IFERROR(__xludf.DUMMYFUNCTION("GOOGLEFINANCE(A369,""volume"")"),7191571)</f>
        <v>7191571</v>
      </c>
      <c r="J369" s="13">
        <f ca="1">IFERROR(__xludf.DUMMYFUNCTION("GOOGLEFINANCE(A369,""volumeavg"")"),5557418)</f>
        <v>5557418</v>
      </c>
      <c r="K369" s="15">
        <f ca="1">IFERROR(__xludf.DUMMYFUNCTION("GOOGLEFINANCE(A369,""high52"")"),163.14)</f>
        <v>163.13999999999999</v>
      </c>
      <c r="L369" s="15">
        <f ca="1">IFERROR(__xludf.DUMMYFUNCTION("GOOGLEFINANCE(A369,""low52"")"),141.45)</f>
        <v>141.44999999999999</v>
      </c>
      <c r="M369" s="7">
        <f t="shared" ca="1" si="0"/>
        <v>45379.717931597224</v>
      </c>
    </row>
    <row r="370" spans="1:13">
      <c r="A370" s="4" t="s">
        <v>381</v>
      </c>
      <c r="B370" s="5" t="str">
        <f ca="1">IFERROR(__xludf.DUMMYFUNCTION("GoogleFinance(A370, ""name"")"),"Progressive Corp")</f>
        <v>Progressive Corp</v>
      </c>
      <c r="C370" s="15">
        <f ca="1">IFERROR(__xludf.DUMMYFUNCTION("GoogleFinance(A370, ""price"")"),206.82)</f>
        <v>206.82</v>
      </c>
      <c r="D370" s="6">
        <f ca="1">IFERROR(__xludf.DUMMYFUNCTION("GoogleFinance(A370, ""eps"")"),6.58)</f>
        <v>6.58</v>
      </c>
      <c r="E370" s="6">
        <f ca="1">IFERROR(__xludf.DUMMYFUNCTION("GOOGLEFINANCE(A370,""pe"")"),31.44)</f>
        <v>31.44</v>
      </c>
      <c r="F370" s="6">
        <f ca="1">IFERROR(__xludf.DUMMYFUNCTION("GoogleFinance(A370, ""beta"")"),0.34)</f>
        <v>0.34</v>
      </c>
      <c r="G370" s="13">
        <f ca="1">IFERROR(__xludf.DUMMYFUNCTION("GOOGLEFINANCE(A370,""shares"")"),585677000)</f>
        <v>585677000</v>
      </c>
      <c r="H370" s="10">
        <f ca="1">IFERROR(__xludf.DUMMYFUNCTION("GOOGLEFINANCE(A370,""marketcap"")"),121134106013)</f>
        <v>121134106013</v>
      </c>
      <c r="I370" s="13">
        <f ca="1">IFERROR(__xludf.DUMMYFUNCTION("GOOGLEFINANCE(A370,""volume"")"),3163442)</f>
        <v>3163442</v>
      </c>
      <c r="J370" s="13">
        <f ca="1">IFERROR(__xludf.DUMMYFUNCTION("GOOGLEFINANCE(A370,""volumeavg"")"),2662799)</f>
        <v>2662799</v>
      </c>
      <c r="K370" s="15">
        <f ca="1">IFERROR(__xludf.DUMMYFUNCTION("GOOGLEFINANCE(A370,""high52"")"),208.19)</f>
        <v>208.19</v>
      </c>
      <c r="L370" s="15">
        <f ca="1">IFERROR(__xludf.DUMMYFUNCTION("GOOGLEFINANCE(A370,""low52"")"),111.41)</f>
        <v>111.41</v>
      </c>
      <c r="M370" s="7">
        <f t="shared" ca="1" si="0"/>
        <v>45379.717931597224</v>
      </c>
    </row>
    <row r="371" spans="1:13">
      <c r="A371" s="4" t="s">
        <v>382</v>
      </c>
      <c r="B371" s="5" t="str">
        <f ca="1">IFERROR(__xludf.DUMMYFUNCTION("GoogleFinance(A371, ""name"")"),"Parker-Hannifin Corp")</f>
        <v>Parker-Hannifin Corp</v>
      </c>
      <c r="C371" s="15">
        <f ca="1">IFERROR(__xludf.DUMMYFUNCTION("GoogleFinance(A371, ""price"")"),555.79)</f>
        <v>555.79</v>
      </c>
      <c r="D371" s="6">
        <f ca="1">IFERROR(__xludf.DUMMYFUNCTION("GoogleFinance(A371, ""eps"")"),20.22)</f>
        <v>20.22</v>
      </c>
      <c r="E371" s="6">
        <f ca="1">IFERROR(__xludf.DUMMYFUNCTION("GOOGLEFINANCE(A371,""pe"")"),27.48)</f>
        <v>27.48</v>
      </c>
      <c r="F371" s="6">
        <f ca="1">IFERROR(__xludf.DUMMYFUNCTION("GoogleFinance(A371, ""beta"")"),1.52)</f>
        <v>1.52</v>
      </c>
      <c r="G371" s="13">
        <f ca="1">IFERROR(__xludf.DUMMYFUNCTION("GOOGLEFINANCE(A371,""shares"")"),128411000)</f>
        <v>128411000</v>
      </c>
      <c r="H371" s="10">
        <f ca="1">IFERROR(__xludf.DUMMYFUNCTION("GOOGLEFINANCE(A371,""marketcap"")"),71369435710)</f>
        <v>71369435710</v>
      </c>
      <c r="I371" s="13">
        <f ca="1">IFERROR(__xludf.DUMMYFUNCTION("GOOGLEFINANCE(A371,""volume"")"),608034)</f>
        <v>608034</v>
      </c>
      <c r="J371" s="13">
        <f ca="1">IFERROR(__xludf.DUMMYFUNCTION("GOOGLEFINANCE(A371,""volumeavg"")"),542353)</f>
        <v>542353</v>
      </c>
      <c r="K371" s="15">
        <f ca="1">IFERROR(__xludf.DUMMYFUNCTION("GOOGLEFINANCE(A371,""high52"")"),561.13)</f>
        <v>561.13</v>
      </c>
      <c r="L371" s="15">
        <f ca="1">IFERROR(__xludf.DUMMYFUNCTION("GOOGLEFINANCE(A371,""low52"")"),308.26)</f>
        <v>308.26</v>
      </c>
      <c r="M371" s="7">
        <f t="shared" ca="1" si="0"/>
        <v>45379.717931597224</v>
      </c>
    </row>
    <row r="372" spans="1:13">
      <c r="A372" s="4" t="s">
        <v>383</v>
      </c>
      <c r="B372" s="5" t="str">
        <f ca="1">IFERROR(__xludf.DUMMYFUNCTION("GoogleFinance(A372, ""name"")"),"PulteGroup, Inc.")</f>
        <v>PulteGroup, Inc.</v>
      </c>
      <c r="C372" s="15">
        <f ca="1">IFERROR(__xludf.DUMMYFUNCTION("GoogleFinance(A372, ""price"")"),120.62)</f>
        <v>120.62</v>
      </c>
      <c r="D372" s="6">
        <f ca="1">IFERROR(__xludf.DUMMYFUNCTION("GoogleFinance(A372, ""eps"")"),11.72)</f>
        <v>11.72</v>
      </c>
      <c r="E372" s="6">
        <f ca="1">IFERROR(__xludf.DUMMYFUNCTION("GOOGLEFINANCE(A372,""pe"")"),10.29)</f>
        <v>10.29</v>
      </c>
      <c r="F372" s="6">
        <f ca="1">IFERROR(__xludf.DUMMYFUNCTION("GoogleFinance(A372, ""beta"")"),1.56)</f>
        <v>1.56</v>
      </c>
      <c r="G372" s="13">
        <f ca="1">IFERROR(__xludf.DUMMYFUNCTION("GOOGLEFINANCE(A372,""shares"")"),212112000)</f>
        <v>212112000</v>
      </c>
      <c r="H372" s="10">
        <f ca="1">IFERROR(__xludf.DUMMYFUNCTION("GOOGLEFINANCE(A372,""marketcap"")"),25449421387)</f>
        <v>25449421387</v>
      </c>
      <c r="I372" s="13">
        <f ca="1">IFERROR(__xludf.DUMMYFUNCTION("GOOGLEFINANCE(A372,""volume"")"),1624236)</f>
        <v>1624236</v>
      </c>
      <c r="J372" s="13">
        <f ca="1">IFERROR(__xludf.DUMMYFUNCTION("GOOGLEFINANCE(A372,""volumeavg"")"),1698885)</f>
        <v>1698885</v>
      </c>
      <c r="K372" s="15">
        <f ca="1">IFERROR(__xludf.DUMMYFUNCTION("GOOGLEFINANCE(A372,""high52"")"),120.89)</f>
        <v>120.89</v>
      </c>
      <c r="L372" s="15">
        <f ca="1">IFERROR(__xludf.DUMMYFUNCTION("GOOGLEFINANCE(A372,""low52"")"),56.63)</f>
        <v>56.63</v>
      </c>
      <c r="M372" s="7">
        <f t="shared" ca="1" si="0"/>
        <v>45379.717931597224</v>
      </c>
    </row>
    <row r="373" spans="1:13">
      <c r="A373" s="4" t="s">
        <v>384</v>
      </c>
      <c r="B373" s="5" t="str">
        <f ca="1">IFERROR(__xludf.DUMMYFUNCTION("GoogleFinance(A373, ""name"")"),"Packaging Corp Of America")</f>
        <v>Packaging Corp Of America</v>
      </c>
      <c r="C373" s="15">
        <f ca="1">IFERROR(__xludf.DUMMYFUNCTION("GoogleFinance(A373, ""price"")"),189.78)</f>
        <v>189.78</v>
      </c>
      <c r="D373" s="6">
        <f ca="1">IFERROR(__xludf.DUMMYFUNCTION("GoogleFinance(A373, ""eps"")"),8.48)</f>
        <v>8.48</v>
      </c>
      <c r="E373" s="6">
        <f ca="1">IFERROR(__xludf.DUMMYFUNCTION("GOOGLEFINANCE(A373,""pe"")"),22.38)</f>
        <v>22.38</v>
      </c>
      <c r="F373" s="6">
        <f ca="1">IFERROR(__xludf.DUMMYFUNCTION("GoogleFinance(A373, ""beta"")"),0.77)</f>
        <v>0.77</v>
      </c>
      <c r="G373" s="13">
        <f ca="1">IFERROR(__xludf.DUMMYFUNCTION("GOOGLEFINANCE(A373,""shares"")"),89624000)</f>
        <v>89624000</v>
      </c>
      <c r="H373" s="10">
        <f ca="1">IFERROR(__xludf.DUMMYFUNCTION("GOOGLEFINANCE(A373,""marketcap"")"),17008863486)</f>
        <v>17008863486</v>
      </c>
      <c r="I373" s="13">
        <f ca="1">IFERROR(__xludf.DUMMYFUNCTION("GOOGLEFINANCE(A373,""volume"")"),504281)</f>
        <v>504281</v>
      </c>
      <c r="J373" s="13">
        <f ca="1">IFERROR(__xludf.DUMMYFUNCTION("GOOGLEFINANCE(A373,""volumeavg"")"),687034)</f>
        <v>687034</v>
      </c>
      <c r="K373" s="15">
        <f ca="1">IFERROR(__xludf.DUMMYFUNCTION("GOOGLEFINANCE(A373,""high52"")"),190.61)</f>
        <v>190.61</v>
      </c>
      <c r="L373" s="15">
        <f ca="1">IFERROR(__xludf.DUMMYFUNCTION("GOOGLEFINANCE(A373,""low52"")"),122.2)</f>
        <v>122.2</v>
      </c>
      <c r="M373" s="7">
        <f t="shared" ca="1" si="0"/>
        <v>45379.717931597224</v>
      </c>
    </row>
    <row r="374" spans="1:13">
      <c r="A374" s="4" t="s">
        <v>385</v>
      </c>
      <c r="B374" s="5" t="str">
        <f ca="1">IFERROR(__xludf.DUMMYFUNCTION("GoogleFinance(A374, ""name"")"),"Prologis Inc")</f>
        <v>Prologis Inc</v>
      </c>
      <c r="C374" s="15">
        <f ca="1">IFERROR(__xludf.DUMMYFUNCTION("GoogleFinance(A374, ""price"")"),130.22)</f>
        <v>130.22</v>
      </c>
      <c r="D374" s="6">
        <f ca="1">IFERROR(__xludf.DUMMYFUNCTION("GoogleFinance(A374, ""eps"")"),3.29)</f>
        <v>3.29</v>
      </c>
      <c r="E374" s="6">
        <f ca="1">IFERROR(__xludf.DUMMYFUNCTION("GOOGLEFINANCE(A374,""pe"")"),39.58)</f>
        <v>39.58</v>
      </c>
      <c r="F374" s="6">
        <f ca="1">IFERROR(__xludf.DUMMYFUNCTION("GoogleFinance(A374, ""beta"")"),0.99)</f>
        <v>0.99</v>
      </c>
      <c r="G374" s="13">
        <f ca="1">IFERROR(__xludf.DUMMYFUNCTION("GOOGLEFINANCE(A374,""shares"")"),924881000)</f>
        <v>924881000</v>
      </c>
      <c r="H374" s="10">
        <f ca="1">IFERROR(__xludf.DUMMYFUNCTION("GOOGLEFINANCE(A374,""marketcap"")"),120438030993)</f>
        <v>120438030993</v>
      </c>
      <c r="I374" s="13">
        <f ca="1">IFERROR(__xludf.DUMMYFUNCTION("GOOGLEFINANCE(A374,""volume"")"),3676095)</f>
        <v>3676095</v>
      </c>
      <c r="J374" s="13">
        <f ca="1">IFERROR(__xludf.DUMMYFUNCTION("GOOGLEFINANCE(A374,""volumeavg"")"),2967975)</f>
        <v>2967975</v>
      </c>
      <c r="K374" s="15">
        <f ca="1">IFERROR(__xludf.DUMMYFUNCTION("GOOGLEFINANCE(A374,""high52"")"),137.52)</f>
        <v>137.52000000000001</v>
      </c>
      <c r="L374" s="15">
        <f ca="1">IFERROR(__xludf.DUMMYFUNCTION("GOOGLEFINANCE(A374,""low52"")"),96.64)</f>
        <v>96.64</v>
      </c>
      <c r="M374" s="7">
        <f t="shared" ca="1" si="0"/>
        <v>45379.717931597224</v>
      </c>
    </row>
    <row r="375" spans="1:13">
      <c r="A375" s="4" t="s">
        <v>386</v>
      </c>
      <c r="B375" s="5" t="str">
        <f ca="1">IFERROR(__xludf.DUMMYFUNCTION("GoogleFinance(A375, ""name"")"),"Philip Morris International Inc.")</f>
        <v>Philip Morris International Inc.</v>
      </c>
      <c r="C375" s="15">
        <f ca="1">IFERROR(__xludf.DUMMYFUNCTION("GoogleFinance(A375, ""price"")"),91.62)</f>
        <v>91.62</v>
      </c>
      <c r="D375" s="6">
        <f ca="1">IFERROR(__xludf.DUMMYFUNCTION("GoogleFinance(A375, ""eps"")"),5.02)</f>
        <v>5.0199999999999996</v>
      </c>
      <c r="E375" s="6">
        <f ca="1">IFERROR(__xludf.DUMMYFUNCTION("GOOGLEFINANCE(A375,""pe"")"),18.26)</f>
        <v>18.260000000000002</v>
      </c>
      <c r="F375" s="6">
        <f ca="1">IFERROR(__xludf.DUMMYFUNCTION("GoogleFinance(A375, ""beta"")"),0.61)</f>
        <v>0.61</v>
      </c>
      <c r="G375" s="13">
        <f ca="1">IFERROR(__xludf.DUMMYFUNCTION("GOOGLEFINANCE(A375,""shares"")"),1552457000)</f>
        <v>1552457000</v>
      </c>
      <c r="H375" s="10">
        <f ca="1">IFERROR(__xludf.DUMMYFUNCTION("GOOGLEFINANCE(A375,""marketcap"")"),142236022983)</f>
        <v>142236022983</v>
      </c>
      <c r="I375" s="13">
        <f ca="1">IFERROR(__xludf.DUMMYFUNCTION("GOOGLEFINANCE(A375,""volume"")"),5311900)</f>
        <v>5311900</v>
      </c>
      <c r="J375" s="13">
        <f ca="1">IFERROR(__xludf.DUMMYFUNCTION("GOOGLEFINANCE(A375,""volumeavg"")"),5810235)</f>
        <v>5810235</v>
      </c>
      <c r="K375" s="15">
        <f ca="1">IFERROR(__xludf.DUMMYFUNCTION("GOOGLEFINANCE(A375,""high52"")"),101.92)</f>
        <v>101.92</v>
      </c>
      <c r="L375" s="15">
        <f ca="1">IFERROR(__xludf.DUMMYFUNCTION("GOOGLEFINANCE(A375,""low52"")"),87.23)</f>
        <v>87.23</v>
      </c>
      <c r="M375" s="7">
        <f t="shared" ca="1" si="0"/>
        <v>45379.717931597224</v>
      </c>
    </row>
    <row r="376" spans="1:13">
      <c r="A376" s="4" t="s">
        <v>387</v>
      </c>
      <c r="B376" s="5" t="str">
        <f ca="1">IFERROR(__xludf.DUMMYFUNCTION("GoogleFinance(A376, ""name"")"),"PNC Financial Services Group Inc")</f>
        <v>PNC Financial Services Group Inc</v>
      </c>
      <c r="C376" s="15">
        <f ca="1">IFERROR(__xludf.DUMMYFUNCTION("GoogleFinance(A376, ""price"")"),161.6)</f>
        <v>161.6</v>
      </c>
      <c r="D376" s="6">
        <f ca="1">IFERROR(__xludf.DUMMYFUNCTION("GoogleFinance(A376, ""eps"")"),12.78)</f>
        <v>12.78</v>
      </c>
      <c r="E376" s="6">
        <f ca="1">IFERROR(__xludf.DUMMYFUNCTION("GOOGLEFINANCE(A376,""pe"")"),12.64)</f>
        <v>12.64</v>
      </c>
      <c r="F376" s="6">
        <f ca="1">IFERROR(__xludf.DUMMYFUNCTION("GoogleFinance(A376, ""beta"")"),1.17)</f>
        <v>1.17</v>
      </c>
      <c r="G376" s="13">
        <f ca="1">IFERROR(__xludf.DUMMYFUNCTION("GOOGLEFINANCE(A376,""shares"")"),397808000)</f>
        <v>397808000</v>
      </c>
      <c r="H376" s="10">
        <f ca="1">IFERROR(__xludf.DUMMYFUNCTION("GOOGLEFINANCE(A376,""marketcap"")"),64285775228)</f>
        <v>64285775228</v>
      </c>
      <c r="I376" s="13">
        <f ca="1">IFERROR(__xludf.DUMMYFUNCTION("GOOGLEFINANCE(A376,""volume"")"),1725504)</f>
        <v>1725504</v>
      </c>
      <c r="J376" s="13">
        <f ca="1">IFERROR(__xludf.DUMMYFUNCTION("GOOGLEFINANCE(A376,""volumeavg"")"),2210928)</f>
        <v>2210928</v>
      </c>
      <c r="K376" s="15">
        <f ca="1">IFERROR(__xludf.DUMMYFUNCTION("GOOGLEFINANCE(A376,""high52"")"),162.24)</f>
        <v>162.24</v>
      </c>
      <c r="L376" s="15">
        <f ca="1">IFERROR(__xludf.DUMMYFUNCTION("GOOGLEFINANCE(A376,""low52"")"),109.4)</f>
        <v>109.4</v>
      </c>
      <c r="M376" s="7">
        <f t="shared" ca="1" si="0"/>
        <v>45379.717931597224</v>
      </c>
    </row>
    <row r="377" spans="1:13">
      <c r="A377" s="4" t="s">
        <v>388</v>
      </c>
      <c r="B377" s="5" t="str">
        <f ca="1">IFERROR(__xludf.DUMMYFUNCTION("GoogleFinance(A377, ""name"")"),"Pentair PLC")</f>
        <v>Pentair PLC</v>
      </c>
      <c r="C377" s="15">
        <f ca="1">IFERROR(__xludf.DUMMYFUNCTION("GoogleFinance(A377, ""price"")"),85.44)</f>
        <v>85.44</v>
      </c>
      <c r="D377" s="6">
        <f ca="1">IFERROR(__xludf.DUMMYFUNCTION("GoogleFinance(A377, ""eps"")"),3.75)</f>
        <v>3.75</v>
      </c>
      <c r="E377" s="6">
        <f ca="1">IFERROR(__xludf.DUMMYFUNCTION("GOOGLEFINANCE(A377,""pe"")"),22.81)</f>
        <v>22.81</v>
      </c>
      <c r="F377" s="6">
        <f ca="1">IFERROR(__xludf.DUMMYFUNCTION("GoogleFinance(A377, ""beta"")"),1.2)</f>
        <v>1.2</v>
      </c>
      <c r="G377" s="13">
        <f ca="1">IFERROR(__xludf.DUMMYFUNCTION("GOOGLEFINANCE(A377,""shares"")"),165335000)</f>
        <v>165335000</v>
      </c>
      <c r="H377" s="10">
        <f ca="1">IFERROR(__xludf.DUMMYFUNCTION("GOOGLEFINANCE(A377,""marketcap"")"),14126180083)</f>
        <v>14126180083</v>
      </c>
      <c r="I377" s="13">
        <f ca="1">IFERROR(__xludf.DUMMYFUNCTION("GOOGLEFINANCE(A377,""volume"")"),1938177)</f>
        <v>1938177</v>
      </c>
      <c r="J377" s="13">
        <f ca="1">IFERROR(__xludf.DUMMYFUNCTION("GOOGLEFINANCE(A377,""volumeavg"")"),1624964)</f>
        <v>1624964</v>
      </c>
      <c r="K377" s="15">
        <f ca="1">IFERROR(__xludf.DUMMYFUNCTION("GOOGLEFINANCE(A377,""high52"")"),85.81)</f>
        <v>85.81</v>
      </c>
      <c r="L377" s="15">
        <f ca="1">IFERROR(__xludf.DUMMYFUNCTION("GOOGLEFINANCE(A377,""low52"")"),51.38)</f>
        <v>51.38</v>
      </c>
      <c r="M377" s="7">
        <f t="shared" ca="1" si="0"/>
        <v>45379.717931597224</v>
      </c>
    </row>
    <row r="378" spans="1:13">
      <c r="A378" s="4" t="s">
        <v>389</v>
      </c>
      <c r="B378" s="5" t="str">
        <f ca="1">IFERROR(__xludf.DUMMYFUNCTION("GoogleFinance(A378, ""name"")"),"Pinnacle West Capital Corporation")</f>
        <v>Pinnacle West Capital Corporation</v>
      </c>
      <c r="C378" s="15">
        <f ca="1">IFERROR(__xludf.DUMMYFUNCTION("GoogleFinance(A378, ""price"")"),74.73)</f>
        <v>74.73</v>
      </c>
      <c r="D378" s="6">
        <f ca="1">IFERROR(__xludf.DUMMYFUNCTION("GoogleFinance(A378, ""eps"")"),4.09)</f>
        <v>4.09</v>
      </c>
      <c r="E378" s="6">
        <f ca="1">IFERROR(__xludf.DUMMYFUNCTION("GOOGLEFINANCE(A378,""pe"")"),18.29)</f>
        <v>18.29</v>
      </c>
      <c r="F378" s="6">
        <f ca="1">IFERROR(__xludf.DUMMYFUNCTION("GoogleFinance(A378, ""beta"")"),0.48)</f>
        <v>0.48</v>
      </c>
      <c r="G378" s="13">
        <f ca="1">IFERROR(__xludf.DUMMYFUNCTION("GOOGLEFINANCE(A378,""shares"")"),123202000)</f>
        <v>123202000</v>
      </c>
      <c r="H378" s="10">
        <f ca="1">IFERROR(__xludf.DUMMYFUNCTION("GOOGLEFINANCE(A378,""marketcap"")"),9324675304)</f>
        <v>9324675304</v>
      </c>
      <c r="I378" s="13">
        <f ca="1">IFERROR(__xludf.DUMMYFUNCTION("GOOGLEFINANCE(A378,""volume"")"),903242)</f>
        <v>903242</v>
      </c>
      <c r="J378" s="13">
        <f ca="1">IFERROR(__xludf.DUMMYFUNCTION("GOOGLEFINANCE(A378,""volumeavg"")"),1701450)</f>
        <v>1701450</v>
      </c>
      <c r="K378" s="15">
        <f ca="1">IFERROR(__xludf.DUMMYFUNCTION("GOOGLEFINANCE(A378,""high52"")"),86.03)</f>
        <v>86.03</v>
      </c>
      <c r="L378" s="15">
        <f ca="1">IFERROR(__xludf.DUMMYFUNCTION("GOOGLEFINANCE(A378,""low52"")"),65.2)</f>
        <v>65.2</v>
      </c>
      <c r="M378" s="7">
        <f t="shared" ca="1" si="0"/>
        <v>45379.717931597224</v>
      </c>
    </row>
    <row r="379" spans="1:13">
      <c r="A379" s="4" t="s">
        <v>390</v>
      </c>
      <c r="B379" s="5" t="str">
        <f ca="1">IFERROR(__xludf.DUMMYFUNCTION("GoogleFinance(A379, ""name"")"),"Insulet Corp")</f>
        <v>Insulet Corp</v>
      </c>
      <c r="C379" s="15">
        <f ca="1">IFERROR(__xludf.DUMMYFUNCTION("GoogleFinance(A379, ""price"")"),171.4)</f>
        <v>171.4</v>
      </c>
      <c r="D379" s="6">
        <f ca="1">IFERROR(__xludf.DUMMYFUNCTION("GoogleFinance(A379, ""eps"")"),2.94)</f>
        <v>2.94</v>
      </c>
      <c r="E379" s="6">
        <f ca="1">IFERROR(__xludf.DUMMYFUNCTION("GOOGLEFINANCE(A379,""pe"")"),58.24)</f>
        <v>58.24</v>
      </c>
      <c r="F379" s="6">
        <f ca="1">IFERROR(__xludf.DUMMYFUNCTION("GoogleFinance(A379, ""beta"")"),0.98)</f>
        <v>0.98</v>
      </c>
      <c r="G379" s="13">
        <f ca="1">IFERROR(__xludf.DUMMYFUNCTION("GOOGLEFINANCE(A379,""shares"")"),69926000)</f>
        <v>69926000</v>
      </c>
      <c r="H379" s="10">
        <f ca="1">IFERROR(__xludf.DUMMYFUNCTION("GOOGLEFINANCE(A379,""marketcap"")"),11985273123)</f>
        <v>11985273123</v>
      </c>
      <c r="I379" s="13">
        <f ca="1">IFERROR(__xludf.DUMMYFUNCTION("GOOGLEFINANCE(A379,""volume"")"),786598)</f>
        <v>786598</v>
      </c>
      <c r="J379" s="13">
        <f ca="1">IFERROR(__xludf.DUMMYFUNCTION("GOOGLEFINANCE(A379,""volumeavg"")"),1021453)</f>
        <v>1021453</v>
      </c>
      <c r="K379" s="15">
        <f ca="1">IFERROR(__xludf.DUMMYFUNCTION("GOOGLEFINANCE(A379,""high52"")"),335.91)</f>
        <v>335.91</v>
      </c>
      <c r="L379" s="15">
        <f ca="1">IFERROR(__xludf.DUMMYFUNCTION("GOOGLEFINANCE(A379,""low52"")"),125.82)</f>
        <v>125.82</v>
      </c>
      <c r="M379" s="7">
        <f t="shared" ca="1" si="0"/>
        <v>45379.717931597224</v>
      </c>
    </row>
    <row r="380" spans="1:13">
      <c r="A380" s="4" t="s">
        <v>391</v>
      </c>
      <c r="B380" s="5" t="str">
        <f ca="1">IFERROR(__xludf.DUMMYFUNCTION("GoogleFinance(A380, ""name"")"),"Pool Corp")</f>
        <v>Pool Corp</v>
      </c>
      <c r="C380" s="15">
        <f ca="1">IFERROR(__xludf.DUMMYFUNCTION("GoogleFinance(A380, ""price"")"),403.5)</f>
        <v>403.5</v>
      </c>
      <c r="D380" s="6">
        <f ca="1">IFERROR(__xludf.DUMMYFUNCTION("GoogleFinance(A380, ""eps"")"),13.35)</f>
        <v>13.35</v>
      </c>
      <c r="E380" s="6">
        <f ca="1">IFERROR(__xludf.DUMMYFUNCTION("GOOGLEFINANCE(A380,""pe"")"),30.23)</f>
        <v>30.23</v>
      </c>
      <c r="F380" s="6">
        <f ca="1">IFERROR(__xludf.DUMMYFUNCTION("GoogleFinance(A380, ""beta"")"),1.01)</f>
        <v>1.01</v>
      </c>
      <c r="G380" s="13">
        <f ca="1">IFERROR(__xludf.DUMMYFUNCTION("GOOGLEFINANCE(A380,""shares"")"),38376000)</f>
        <v>38376000</v>
      </c>
      <c r="H380" s="10">
        <f ca="1">IFERROR(__xludf.DUMMYFUNCTION("GOOGLEFINANCE(A380,""marketcap"")"),15484776525)</f>
        <v>15484776525</v>
      </c>
      <c r="I380" s="13">
        <f ca="1">IFERROR(__xludf.DUMMYFUNCTION("GOOGLEFINANCE(A380,""volume"")"),711594)</f>
        <v>711594</v>
      </c>
      <c r="J380" s="13">
        <f ca="1">IFERROR(__xludf.DUMMYFUNCTION("GOOGLEFINANCE(A380,""volumeavg"")"),348986)</f>
        <v>348986</v>
      </c>
      <c r="K380" s="15">
        <f ca="1">IFERROR(__xludf.DUMMYFUNCTION("GOOGLEFINANCE(A380,""high52"")"),422.73)</f>
        <v>422.73</v>
      </c>
      <c r="L380" s="15">
        <f ca="1">IFERROR(__xludf.DUMMYFUNCTION("GOOGLEFINANCE(A380,""low52"")"),307.77)</f>
        <v>307.77</v>
      </c>
      <c r="M380" s="7">
        <f t="shared" ca="1" si="0"/>
        <v>45379.717931597224</v>
      </c>
    </row>
    <row r="381" spans="1:13">
      <c r="A381" s="4" t="s">
        <v>392</v>
      </c>
      <c r="B381" s="5" t="str">
        <f ca="1">IFERROR(__xludf.DUMMYFUNCTION("GoogleFinance(A381, ""name"")"),"PPG Industries, Inc.")</f>
        <v>PPG Industries, Inc.</v>
      </c>
      <c r="C381" s="15">
        <f ca="1">IFERROR(__xludf.DUMMYFUNCTION("GoogleFinance(A381, ""price"")"),144.9)</f>
        <v>144.9</v>
      </c>
      <c r="D381" s="6">
        <f ca="1">IFERROR(__xludf.DUMMYFUNCTION("GoogleFinance(A381, ""eps"")"),5.35)</f>
        <v>5.35</v>
      </c>
      <c r="E381" s="6">
        <f ca="1">IFERROR(__xludf.DUMMYFUNCTION("GOOGLEFINANCE(A381,""pe"")"),27.06)</f>
        <v>27.06</v>
      </c>
      <c r="F381" s="6">
        <f ca="1">IFERROR(__xludf.DUMMYFUNCTION("GoogleFinance(A381, ""beta"")"),1.28)</f>
        <v>1.28</v>
      </c>
      <c r="G381" s="13">
        <f ca="1">IFERROR(__xludf.DUMMYFUNCTION("GOOGLEFINANCE(A381,""shares"")"),235361000)</f>
        <v>235361000</v>
      </c>
      <c r="H381" s="10">
        <f ca="1">IFERROR(__xludf.DUMMYFUNCTION("GOOGLEFINANCE(A381,""marketcap"")"),34103821953)</f>
        <v>34103821953</v>
      </c>
      <c r="I381" s="13">
        <f ca="1">IFERROR(__xludf.DUMMYFUNCTION("GOOGLEFINANCE(A381,""volume"")"),1532965)</f>
        <v>1532965</v>
      </c>
      <c r="J381" s="13">
        <f ca="1">IFERROR(__xludf.DUMMYFUNCTION("GOOGLEFINANCE(A381,""volumeavg"")"),1791283)</f>
        <v>1791283</v>
      </c>
      <c r="K381" s="15">
        <f ca="1">IFERROR(__xludf.DUMMYFUNCTION("GOOGLEFINANCE(A381,""high52"")"),152.89)</f>
        <v>152.88999999999999</v>
      </c>
      <c r="L381" s="15">
        <f ca="1">IFERROR(__xludf.DUMMYFUNCTION("GOOGLEFINANCE(A381,""low52"")"),120.33)</f>
        <v>120.33</v>
      </c>
      <c r="M381" s="7">
        <f t="shared" ca="1" si="0"/>
        <v>45379.717931597224</v>
      </c>
    </row>
    <row r="382" spans="1:13">
      <c r="A382" s="4" t="s">
        <v>393</v>
      </c>
      <c r="B382" s="5" t="str">
        <f ca="1">IFERROR(__xludf.DUMMYFUNCTION("GoogleFinance(A382, ""name"")"),"PPL Corp")</f>
        <v>PPL Corp</v>
      </c>
      <c r="C382" s="15">
        <f ca="1">IFERROR(__xludf.DUMMYFUNCTION("GoogleFinance(A382, ""price"")"),27.53)</f>
        <v>27.53</v>
      </c>
      <c r="D382" s="6">
        <f ca="1">IFERROR(__xludf.DUMMYFUNCTION("GoogleFinance(A382, ""eps"")"),1)</f>
        <v>1</v>
      </c>
      <c r="E382" s="6">
        <f ca="1">IFERROR(__xludf.DUMMYFUNCTION("GOOGLEFINANCE(A382,""pe"")"),27.46)</f>
        <v>27.46</v>
      </c>
      <c r="F382" s="6">
        <f ca="1">IFERROR(__xludf.DUMMYFUNCTION("GoogleFinance(A382, ""beta"")"),0.81)</f>
        <v>0.81</v>
      </c>
      <c r="G382" s="13">
        <f ca="1">IFERROR(__xludf.DUMMYFUNCTION("GOOGLEFINANCE(A382,""shares"")"),737603000)</f>
        <v>737603000</v>
      </c>
      <c r="H382" s="10">
        <f ca="1">IFERROR(__xludf.DUMMYFUNCTION("GOOGLEFINANCE(A382,""marketcap"")"),20306224861)</f>
        <v>20306224861</v>
      </c>
      <c r="I382" s="13">
        <f ca="1">IFERROR(__xludf.DUMMYFUNCTION("GOOGLEFINANCE(A382,""volume"")"),5297217)</f>
        <v>5297217</v>
      </c>
      <c r="J382" s="13">
        <f ca="1">IFERROR(__xludf.DUMMYFUNCTION("GOOGLEFINANCE(A382,""volumeavg"")"),5392888)</f>
        <v>5392888</v>
      </c>
      <c r="K382" s="15">
        <f ca="1">IFERROR(__xludf.DUMMYFUNCTION("GOOGLEFINANCE(A382,""high52"")"),29.04)</f>
        <v>29.04</v>
      </c>
      <c r="L382" s="15">
        <f ca="1">IFERROR(__xludf.DUMMYFUNCTION("GOOGLEFINANCE(A382,""low52"")"),22.2)</f>
        <v>22.2</v>
      </c>
      <c r="M382" s="7">
        <f t="shared" ca="1" si="0"/>
        <v>45379.717931597224</v>
      </c>
    </row>
    <row r="383" spans="1:13">
      <c r="A383" s="4" t="s">
        <v>394</v>
      </c>
      <c r="B383" s="5" t="str">
        <f ca="1">IFERROR(__xludf.DUMMYFUNCTION("GoogleFinance(A383, ""name"")"),"Prudential Financial Inc")</f>
        <v>Prudential Financial Inc</v>
      </c>
      <c r="C383" s="15">
        <f ca="1">IFERROR(__xludf.DUMMYFUNCTION("GoogleFinance(A383, ""price"")"),117.4)</f>
        <v>117.4</v>
      </c>
      <c r="D383" s="6">
        <f ca="1">IFERROR(__xludf.DUMMYFUNCTION("GoogleFinance(A383, ""eps"")"),6.74)</f>
        <v>6.74</v>
      </c>
      <c r="E383" s="6">
        <f ca="1">IFERROR(__xludf.DUMMYFUNCTION("GOOGLEFINANCE(A383,""pe"")"),17.41)</f>
        <v>17.41</v>
      </c>
      <c r="F383" s="6">
        <f ca="1">IFERROR(__xludf.DUMMYFUNCTION("GoogleFinance(A383, ""beta"")"),1.36)</f>
        <v>1.36</v>
      </c>
      <c r="G383" s="13">
        <f ca="1">IFERROR(__xludf.DUMMYFUNCTION("GOOGLEFINANCE(A383,""shares"")"),359000000)</f>
        <v>359000000</v>
      </c>
      <c r="H383" s="10">
        <f ca="1">IFERROR(__xludf.DUMMYFUNCTION("GOOGLEFINANCE(A383,""marketcap"")"),42146600547)</f>
        <v>42146600547</v>
      </c>
      <c r="I383" s="13">
        <f ca="1">IFERROR(__xludf.DUMMYFUNCTION("GOOGLEFINANCE(A383,""volume"")"),1177760)</f>
        <v>1177760</v>
      </c>
      <c r="J383" s="13">
        <f ca="1">IFERROR(__xludf.DUMMYFUNCTION("GOOGLEFINANCE(A383,""volumeavg"")"),1567991)</f>
        <v>1567991</v>
      </c>
      <c r="K383" s="15">
        <f ca="1">IFERROR(__xludf.DUMMYFUNCTION("GOOGLEFINANCE(A383,""high52"")"),117.92)</f>
        <v>117.92</v>
      </c>
      <c r="L383" s="15">
        <f ca="1">IFERROR(__xludf.DUMMYFUNCTION("GOOGLEFINANCE(A383,""low52"")"),77.22)</f>
        <v>77.22</v>
      </c>
      <c r="M383" s="7">
        <f t="shared" ca="1" si="0"/>
        <v>45379.717931597224</v>
      </c>
    </row>
    <row r="384" spans="1:13">
      <c r="A384" s="4" t="s">
        <v>395</v>
      </c>
      <c r="B384" s="5" t="str">
        <f ca="1">IFERROR(__xludf.DUMMYFUNCTION("GoogleFinance(A384, ""name"")"),"Public Storage")</f>
        <v>Public Storage</v>
      </c>
      <c r="C384" s="15">
        <f ca="1">IFERROR(__xludf.DUMMYFUNCTION("GoogleFinance(A384, ""price"")"),290.06)</f>
        <v>290.06</v>
      </c>
      <c r="D384" s="6">
        <f ca="1">IFERROR(__xludf.DUMMYFUNCTION("GoogleFinance(A384, ""eps"")"),11.06)</f>
        <v>11.06</v>
      </c>
      <c r="E384" s="6">
        <f ca="1">IFERROR(__xludf.DUMMYFUNCTION("GOOGLEFINANCE(A384,""pe"")"),26.22)</f>
        <v>26.22</v>
      </c>
      <c r="F384" s="6">
        <f ca="1">IFERROR(__xludf.DUMMYFUNCTION("GoogleFinance(A384, ""beta"")"),0.55)</f>
        <v>0.55000000000000004</v>
      </c>
      <c r="G384" s="13">
        <f ca="1">IFERROR(__xludf.DUMMYFUNCTION("GOOGLEFINANCE(A384,""shares"")"),175691000)</f>
        <v>175691000</v>
      </c>
      <c r="H384" s="10">
        <f ca="1">IFERROR(__xludf.DUMMYFUNCTION("GOOGLEFINANCE(A384,""marketcap"")"),50964556781)</f>
        <v>50964556781</v>
      </c>
      <c r="I384" s="13">
        <f ca="1">IFERROR(__xludf.DUMMYFUNCTION("GOOGLEFINANCE(A384,""volume"")"),841389)</f>
        <v>841389</v>
      </c>
      <c r="J384" s="13">
        <f ca="1">IFERROR(__xludf.DUMMYFUNCTION("GOOGLEFINANCE(A384,""volumeavg"")"),798179)</f>
        <v>798179</v>
      </c>
      <c r="K384" s="15">
        <f ca="1">IFERROR(__xludf.DUMMYFUNCTION("GOOGLEFINANCE(A384,""high52"")"),316.48)</f>
        <v>316.48</v>
      </c>
      <c r="L384" s="15">
        <f ca="1">IFERROR(__xludf.DUMMYFUNCTION("GOOGLEFINANCE(A384,""low52"")"),233.18)</f>
        <v>233.18</v>
      </c>
      <c r="M384" s="7">
        <f t="shared" ca="1" si="0"/>
        <v>45379.717931597224</v>
      </c>
    </row>
    <row r="385" spans="1:13">
      <c r="A385" s="4" t="s">
        <v>396</v>
      </c>
      <c r="B385" s="5" t="str">
        <f ca="1">IFERROR(__xludf.DUMMYFUNCTION("GoogleFinance(A385, ""name"")"),"Phillips 66")</f>
        <v>Phillips 66</v>
      </c>
      <c r="C385" s="15">
        <f ca="1">IFERROR(__xludf.DUMMYFUNCTION("GoogleFinance(A385, ""price"")"),163.34)</f>
        <v>163.34</v>
      </c>
      <c r="D385" s="6">
        <f ca="1">IFERROR(__xludf.DUMMYFUNCTION("GoogleFinance(A385, ""eps"")"),15.48)</f>
        <v>15.48</v>
      </c>
      <c r="E385" s="6">
        <f ca="1">IFERROR(__xludf.DUMMYFUNCTION("GOOGLEFINANCE(A385,""pe"")"),10.55)</f>
        <v>10.55</v>
      </c>
      <c r="F385" s="6">
        <f ca="1">IFERROR(__xludf.DUMMYFUNCTION("GoogleFinance(A385, ""beta"")"),1.36)</f>
        <v>1.36</v>
      </c>
      <c r="G385" s="13">
        <f ca="1">IFERROR(__xludf.DUMMYFUNCTION("GOOGLEFINANCE(A385,""shares"")"),427824000)</f>
        <v>427824000</v>
      </c>
      <c r="H385" s="10">
        <f ca="1">IFERROR(__xludf.DUMMYFUNCTION("GOOGLEFINANCE(A385,""marketcap"")"),69880835929)</f>
        <v>69880835929</v>
      </c>
      <c r="I385" s="13">
        <f ca="1">IFERROR(__xludf.DUMMYFUNCTION("GOOGLEFINANCE(A385,""volume"")"),3177289)</f>
        <v>3177289</v>
      </c>
      <c r="J385" s="13">
        <f ca="1">IFERROR(__xludf.DUMMYFUNCTION("GOOGLEFINANCE(A385,""volumeavg"")"),3070066)</f>
        <v>3070066</v>
      </c>
      <c r="K385" s="15">
        <f ca="1">IFERROR(__xludf.DUMMYFUNCTION("GOOGLEFINANCE(A385,""high52"")"),163.79)</f>
        <v>163.79</v>
      </c>
      <c r="L385" s="15">
        <f ca="1">IFERROR(__xludf.DUMMYFUNCTION("GOOGLEFINANCE(A385,""low52"")"),89.74)</f>
        <v>89.74</v>
      </c>
      <c r="M385" s="7">
        <f t="shared" ca="1" si="0"/>
        <v>45379.717931597224</v>
      </c>
    </row>
    <row r="386" spans="1:13">
      <c r="A386" s="4" t="s">
        <v>397</v>
      </c>
      <c r="B386" s="5" t="str">
        <f ca="1">IFERROR(__xludf.DUMMYFUNCTION("GoogleFinance(A386, ""name"")"),"PTC Inc")</f>
        <v>PTC Inc</v>
      </c>
      <c r="C386" s="15">
        <f ca="1">IFERROR(__xludf.DUMMYFUNCTION("GoogleFinance(A386, ""price"")"),188.94)</f>
        <v>188.94</v>
      </c>
      <c r="D386" s="6">
        <f ca="1">IFERROR(__xludf.DUMMYFUNCTION("GoogleFinance(A386, ""eps"")"),1.98)</f>
        <v>1.98</v>
      </c>
      <c r="E386" s="6">
        <f ca="1">IFERROR(__xludf.DUMMYFUNCTION("GOOGLEFINANCE(A386,""pe"")"),95.45)</f>
        <v>95.45</v>
      </c>
      <c r="F386" s="6">
        <f ca="1">IFERROR(__xludf.DUMMYFUNCTION("GoogleFinance(A386, ""beta"")"),1.17)</f>
        <v>1.17</v>
      </c>
      <c r="G386" s="13">
        <f ca="1">IFERROR(__xludf.DUMMYFUNCTION("GOOGLEFINANCE(A386,""shares"")"),119552000)</f>
        <v>119552000</v>
      </c>
      <c r="H386" s="10">
        <f ca="1">IFERROR(__xludf.DUMMYFUNCTION("GOOGLEFINANCE(A386,""marketcap"")"),22588230747)</f>
        <v>22588230747</v>
      </c>
      <c r="I386" s="13">
        <f ca="1">IFERROR(__xludf.DUMMYFUNCTION("GOOGLEFINANCE(A386,""volume"")"),551789)</f>
        <v>551789</v>
      </c>
      <c r="J386" s="13">
        <f ca="1">IFERROR(__xludf.DUMMYFUNCTION("GOOGLEFINANCE(A386,""volumeavg"")"),826424)</f>
        <v>826424</v>
      </c>
      <c r="K386" s="15">
        <f ca="1">IFERROR(__xludf.DUMMYFUNCTION("GOOGLEFINANCE(A386,""high52"")"),194.24)</f>
        <v>194.24</v>
      </c>
      <c r="L386" s="15">
        <f ca="1">IFERROR(__xludf.DUMMYFUNCTION("GOOGLEFINANCE(A386,""low52"")"),120.62)</f>
        <v>120.62</v>
      </c>
      <c r="M386" s="7">
        <f t="shared" ca="1" si="0"/>
        <v>45379.717931597224</v>
      </c>
    </row>
    <row r="387" spans="1:13">
      <c r="A387" s="4" t="s">
        <v>398</v>
      </c>
      <c r="B387" s="5" t="str">
        <f ca="1">IFERROR(__xludf.DUMMYFUNCTION("GoogleFinance(A387, ""name"")"),"Quanta Services Inc")</f>
        <v>Quanta Services Inc</v>
      </c>
      <c r="C387" s="15">
        <f ca="1">IFERROR(__xludf.DUMMYFUNCTION("GoogleFinance(A387, ""price"")"),259.8)</f>
        <v>259.8</v>
      </c>
      <c r="D387" s="6">
        <f ca="1">IFERROR(__xludf.DUMMYFUNCTION("GoogleFinance(A387, ""eps"")"),5)</f>
        <v>5</v>
      </c>
      <c r="E387" s="6">
        <f ca="1">IFERROR(__xludf.DUMMYFUNCTION("GOOGLEFINANCE(A387,""pe"")"),51.92)</f>
        <v>51.92</v>
      </c>
      <c r="F387" s="6">
        <f ca="1">IFERROR(__xludf.DUMMYFUNCTION("GoogleFinance(A387, ""beta"")"),1.11)</f>
        <v>1.1100000000000001</v>
      </c>
      <c r="G387" s="13">
        <f ca="1">IFERROR(__xludf.DUMMYFUNCTION("GOOGLEFINANCE(A387,""shares"")"),145749000)</f>
        <v>145749000</v>
      </c>
      <c r="H387" s="10">
        <f ca="1">IFERROR(__xludf.DUMMYFUNCTION("GOOGLEFINANCE(A387,""marketcap"")"),37865562440)</f>
        <v>37865562440</v>
      </c>
      <c r="I387" s="13">
        <f ca="1">IFERROR(__xludf.DUMMYFUNCTION("GOOGLEFINANCE(A387,""volume"")"),745696)</f>
        <v>745696</v>
      </c>
      <c r="J387" s="13">
        <f ca="1">IFERROR(__xludf.DUMMYFUNCTION("GOOGLEFINANCE(A387,""volumeavg"")"),946182)</f>
        <v>946182</v>
      </c>
      <c r="K387" s="15">
        <f ca="1">IFERROR(__xludf.DUMMYFUNCTION("GOOGLEFINANCE(A387,""high52"")"),262.01)</f>
        <v>262.01</v>
      </c>
      <c r="L387" s="15">
        <f ca="1">IFERROR(__xludf.DUMMYFUNCTION("GOOGLEFINANCE(A387,""low52"")"),153.74)</f>
        <v>153.74</v>
      </c>
      <c r="M387" s="7">
        <f t="shared" ca="1" si="0"/>
        <v>45379.717931597224</v>
      </c>
    </row>
    <row r="388" spans="1:13">
      <c r="A388" s="4" t="s">
        <v>399</v>
      </c>
      <c r="B388" s="5" t="str">
        <f ca="1">IFERROR(__xludf.DUMMYFUNCTION("GoogleFinance(A388, ""name"")"),"Pioneer Natural Resources Co")</f>
        <v>Pioneer Natural Resources Co</v>
      </c>
      <c r="C388" s="15">
        <f ca="1">IFERROR(__xludf.DUMMYFUNCTION("GoogleFinance(A388, ""price"")"),262.5)</f>
        <v>262.5</v>
      </c>
      <c r="D388" s="6">
        <f ca="1">IFERROR(__xludf.DUMMYFUNCTION("GoogleFinance(A388, ""eps"")"),20.2)</f>
        <v>20.2</v>
      </c>
      <c r="E388" s="6">
        <f ca="1">IFERROR(__xludf.DUMMYFUNCTION("GOOGLEFINANCE(A388,""pe"")"),13)</f>
        <v>13</v>
      </c>
      <c r="F388" s="6">
        <f ca="1">IFERROR(__xludf.DUMMYFUNCTION("GoogleFinance(A388, ""beta"")"),1.28)</f>
        <v>1.28</v>
      </c>
      <c r="G388" s="13">
        <f ca="1">IFERROR(__xludf.DUMMYFUNCTION("GOOGLEFINANCE(A388,""shares"")"),233623000)</f>
        <v>233623000</v>
      </c>
      <c r="H388" s="10">
        <f ca="1">IFERROR(__xludf.DUMMYFUNCTION("GOOGLEFINANCE(A388,""marketcap"")"),61326063750)</f>
        <v>61326063750</v>
      </c>
      <c r="I388" s="13">
        <f ca="1">IFERROR(__xludf.DUMMYFUNCTION("GOOGLEFINANCE(A388,""volume"")"),2215807)</f>
        <v>2215807</v>
      </c>
      <c r="J388" s="13">
        <f ca="1">IFERROR(__xludf.DUMMYFUNCTION("GOOGLEFINANCE(A388,""volumeavg"")"),2157001)</f>
        <v>2157001</v>
      </c>
      <c r="K388" s="15">
        <f ca="1">IFERROR(__xludf.DUMMYFUNCTION("GOOGLEFINANCE(A388,""high52"")"),263.08)</f>
        <v>263.08</v>
      </c>
      <c r="L388" s="15">
        <f ca="1">IFERROR(__xludf.DUMMYFUNCTION("GOOGLEFINANCE(A388,""low52"")"),196.75)</f>
        <v>196.75</v>
      </c>
      <c r="M388" s="7">
        <f t="shared" ca="1" si="0"/>
        <v>45379.717931597224</v>
      </c>
    </row>
    <row r="389" spans="1:13">
      <c r="A389" s="4" t="s">
        <v>400</v>
      </c>
      <c r="B389" s="5" t="str">
        <f ca="1">IFERROR(__xludf.DUMMYFUNCTION("GoogleFinance(A389, ""name"")"),"PayPal Holdings Inc")</f>
        <v>PayPal Holdings Inc</v>
      </c>
      <c r="C389" s="15">
        <f ca="1">IFERROR(__xludf.DUMMYFUNCTION("GoogleFinance(A389, ""price"")"),66.99)</f>
        <v>66.989999999999995</v>
      </c>
      <c r="D389" s="6">
        <f ca="1">IFERROR(__xludf.DUMMYFUNCTION("GoogleFinance(A389, ""eps"")"),3.84)</f>
        <v>3.84</v>
      </c>
      <c r="E389" s="6">
        <f ca="1">IFERROR(__xludf.DUMMYFUNCTION("GOOGLEFINANCE(A389,""pe"")"),17.47)</f>
        <v>17.47</v>
      </c>
      <c r="F389" s="6">
        <f ca="1">IFERROR(__xludf.DUMMYFUNCTION("GoogleFinance(A389, ""beta"")"),1.44)</f>
        <v>1.44</v>
      </c>
      <c r="G389" s="13">
        <f ca="1">IFERROR(__xludf.DUMMYFUNCTION("GOOGLEFINANCE(A389,""shares"")"),1071742000)</f>
        <v>1071742000</v>
      </c>
      <c r="H389" s="10">
        <f ca="1">IFERROR(__xludf.DUMMYFUNCTION("GOOGLEFINANCE(A389,""marketcap"")"),71795927300)</f>
        <v>71795927300</v>
      </c>
      <c r="I389" s="13">
        <f ca="1">IFERROR(__xludf.DUMMYFUNCTION("GOOGLEFINANCE(A389,""volume"")"),10774340)</f>
        <v>10774340</v>
      </c>
      <c r="J389" s="13">
        <f ca="1">IFERROR(__xludf.DUMMYFUNCTION("GOOGLEFINANCE(A389,""volumeavg"")"),14449300)</f>
        <v>14449300</v>
      </c>
      <c r="K389" s="15">
        <f ca="1">IFERROR(__xludf.DUMMYFUNCTION("GOOGLEFINANCE(A389,""high52"")"),77.95)</f>
        <v>77.95</v>
      </c>
      <c r="L389" s="15">
        <f ca="1">IFERROR(__xludf.DUMMYFUNCTION("GOOGLEFINANCE(A389,""low52"")"),50.25)</f>
        <v>50.25</v>
      </c>
      <c r="M389" s="7">
        <f t="shared" ca="1" si="0"/>
        <v>45379.717931597224</v>
      </c>
    </row>
    <row r="390" spans="1:13">
      <c r="A390" s="4" t="s">
        <v>401</v>
      </c>
      <c r="B390" s="5" t="str">
        <f ca="1">IFERROR(__xludf.DUMMYFUNCTION("GoogleFinance(A390, ""name"")"),"Qualcomm Inc")</f>
        <v>Qualcomm Inc</v>
      </c>
      <c r="C390" s="15">
        <f ca="1">IFERROR(__xludf.DUMMYFUNCTION("GoogleFinance(A390, ""price"")"),169.3)</f>
        <v>169.3</v>
      </c>
      <c r="D390" s="6">
        <f ca="1">IFERROR(__xludf.DUMMYFUNCTION("GoogleFinance(A390, ""eps"")"),6.9)</f>
        <v>6.9</v>
      </c>
      <c r="E390" s="6">
        <f ca="1">IFERROR(__xludf.DUMMYFUNCTION("GOOGLEFINANCE(A390,""pe"")"),24.54)</f>
        <v>24.54</v>
      </c>
      <c r="F390" s="6">
        <f ca="1">IFERROR(__xludf.DUMMYFUNCTION("GoogleFinance(A390, ""beta"")"),1.4)</f>
        <v>1.4</v>
      </c>
      <c r="G390" s="13">
        <f ca="1">IFERROR(__xludf.DUMMYFUNCTION("GOOGLEFINANCE(A390,""shares"")"),1116000000)</f>
        <v>1116000000</v>
      </c>
      <c r="H390" s="10">
        <f ca="1">IFERROR(__xludf.DUMMYFUNCTION("GOOGLEFINANCE(A390,""marketcap"")"),188938803405)</f>
        <v>188938803405</v>
      </c>
      <c r="I390" s="13">
        <f ca="1">IFERROR(__xludf.DUMMYFUNCTION("GOOGLEFINANCE(A390,""volume"")"),5323738)</f>
        <v>5323738</v>
      </c>
      <c r="J390" s="13">
        <f ca="1">IFERROR(__xludf.DUMMYFUNCTION("GOOGLEFINANCE(A390,""volumeavg"")"),8590872)</f>
        <v>8590872</v>
      </c>
      <c r="K390" s="15">
        <f ca="1">IFERROR(__xludf.DUMMYFUNCTION("GOOGLEFINANCE(A390,""high52"")"),177.59)</f>
        <v>177.59</v>
      </c>
      <c r="L390" s="15">
        <f ca="1">IFERROR(__xludf.DUMMYFUNCTION("GOOGLEFINANCE(A390,""low52"")"),101.47)</f>
        <v>101.47</v>
      </c>
      <c r="M390" s="7">
        <f t="shared" ca="1" si="0"/>
        <v>45379.717931597224</v>
      </c>
    </row>
    <row r="391" spans="1:13">
      <c r="A391" s="4" t="s">
        <v>402</v>
      </c>
      <c r="B391" s="5" t="str">
        <f ca="1">IFERROR(__xludf.DUMMYFUNCTION("GoogleFinance(A391, ""name"")"),"Qorvo Inc")</f>
        <v>Qorvo Inc</v>
      </c>
      <c r="C391" s="15">
        <f ca="1">IFERROR(__xludf.DUMMYFUNCTION("GoogleFinance(A391, ""price"")"),114.83)</f>
        <v>114.83</v>
      </c>
      <c r="D391" s="6">
        <f ca="1">IFERROR(__xludf.DUMMYFUNCTION("GoogleFinance(A391, ""eps"")"),-2.15)</f>
        <v>-2.15</v>
      </c>
      <c r="E391" s="6" t="str">
        <f ca="1">IFERROR(__xludf.DUMMYFUNCTION("GOOGLEFINANCE(A391,""pe"")"),"#N/A")</f>
        <v>#N/A</v>
      </c>
      <c r="F391" s="6">
        <f ca="1">IFERROR(__xludf.DUMMYFUNCTION("GoogleFinance(A391, ""beta"")"),1.56)</f>
        <v>1.56</v>
      </c>
      <c r="G391" s="13">
        <f ca="1">IFERROR(__xludf.DUMMYFUNCTION("GOOGLEFINANCE(A391,""shares"")"),96548000)</f>
        <v>96548000</v>
      </c>
      <c r="H391" s="10">
        <f ca="1">IFERROR(__xludf.DUMMYFUNCTION("GOOGLEFINANCE(A391,""marketcap"")"),11086655245)</f>
        <v>11086655245</v>
      </c>
      <c r="I391" s="13">
        <f ca="1">IFERROR(__xludf.DUMMYFUNCTION("GOOGLEFINANCE(A391,""volume"")"),1142337)</f>
        <v>1142337</v>
      </c>
      <c r="J391" s="13">
        <f ca="1">IFERROR(__xludf.DUMMYFUNCTION("GOOGLEFINANCE(A391,""volumeavg"")"),1120630)</f>
        <v>1120630</v>
      </c>
      <c r="K391" s="15">
        <f ca="1">IFERROR(__xludf.DUMMYFUNCTION("GOOGLEFINANCE(A391,""high52"")"),121.65)</f>
        <v>121.65</v>
      </c>
      <c r="L391" s="15">
        <f ca="1">IFERROR(__xludf.DUMMYFUNCTION("GOOGLEFINANCE(A391,""low52"")"),80.62)</f>
        <v>80.62</v>
      </c>
      <c r="M391" s="7">
        <f t="shared" ca="1" si="0"/>
        <v>45379.717931597224</v>
      </c>
    </row>
    <row r="392" spans="1:13">
      <c r="A392" s="4" t="s">
        <v>403</v>
      </c>
      <c r="B392" s="5" t="str">
        <f ca="1">IFERROR(__xludf.DUMMYFUNCTION("GoogleFinance(A392, ""name"")"),"Royal Caribbean Cruises Ltd")</f>
        <v>Royal Caribbean Cruises Ltd</v>
      </c>
      <c r="C392" s="15">
        <f ca="1">IFERROR(__xludf.DUMMYFUNCTION("GoogleFinance(A392, ""price"")"),139.01)</f>
        <v>139.01</v>
      </c>
      <c r="D392" s="6">
        <f ca="1">IFERROR(__xludf.DUMMYFUNCTION("GoogleFinance(A392, ""eps"")"),6.31)</f>
        <v>6.31</v>
      </c>
      <c r="E392" s="6">
        <f ca="1">IFERROR(__xludf.DUMMYFUNCTION("GOOGLEFINANCE(A392,""pe"")"),22.04)</f>
        <v>22.04</v>
      </c>
      <c r="F392" s="6">
        <f ca="1">IFERROR(__xludf.DUMMYFUNCTION("GoogleFinance(A392, ""beta"")"),2.51)</f>
        <v>2.5099999999999998</v>
      </c>
      <c r="G392" s="13">
        <f ca="1">IFERROR(__xludf.DUMMYFUNCTION("GOOGLEFINANCE(A392,""shares"")"),256650000)</f>
        <v>256650000</v>
      </c>
      <c r="H392" s="10">
        <f ca="1">IFERROR(__xludf.DUMMYFUNCTION("GOOGLEFINANCE(A392,""marketcap"")"),35676928991)</f>
        <v>35676928991</v>
      </c>
      <c r="I392" s="13">
        <f ca="1">IFERROR(__xludf.DUMMYFUNCTION("GOOGLEFINANCE(A392,""volume"")"),2770131)</f>
        <v>2770131</v>
      </c>
      <c r="J392" s="13">
        <f ca="1">IFERROR(__xludf.DUMMYFUNCTION("GOOGLEFINANCE(A392,""volumeavg"")"),2436245)</f>
        <v>2436245</v>
      </c>
      <c r="K392" s="15">
        <f ca="1">IFERROR(__xludf.DUMMYFUNCTION("GOOGLEFINANCE(A392,""high52"")"),141.62)</f>
        <v>141.62</v>
      </c>
      <c r="L392" s="15">
        <f ca="1">IFERROR(__xludf.DUMMYFUNCTION("GOOGLEFINANCE(A392,""low52"")"),59.37)</f>
        <v>59.37</v>
      </c>
      <c r="M392" s="7">
        <f t="shared" ca="1" si="0"/>
        <v>45379.717931597224</v>
      </c>
    </row>
    <row r="393" spans="1:13">
      <c r="A393" s="4" t="s">
        <v>404</v>
      </c>
      <c r="B393" s="5" t="str">
        <f ca="1">IFERROR(__xludf.DUMMYFUNCTION("GoogleFinance(A393, ""name"")"),"Regency Centers Corp")</f>
        <v>Regency Centers Corp</v>
      </c>
      <c r="C393" s="15">
        <f ca="1">IFERROR(__xludf.DUMMYFUNCTION("GoogleFinance(A393, ""price"")"),60.56)</f>
        <v>60.56</v>
      </c>
      <c r="D393" s="6">
        <f ca="1">IFERROR(__xludf.DUMMYFUNCTION("GoogleFinance(A393, ""eps"")"),2.04)</f>
        <v>2.04</v>
      </c>
      <c r="E393" s="6">
        <f ca="1">IFERROR(__xludf.DUMMYFUNCTION("GOOGLEFINANCE(A393,""pe"")"),29.71)</f>
        <v>29.71</v>
      </c>
      <c r="F393" s="6">
        <f ca="1">IFERROR(__xludf.DUMMYFUNCTION("GoogleFinance(A393, ""beta"")"),1.16)</f>
        <v>1.1599999999999999</v>
      </c>
      <c r="G393" s="13">
        <f ca="1">IFERROR(__xludf.DUMMYFUNCTION("GOOGLEFINANCE(A393,""shares"")"),184579000)</f>
        <v>184579000</v>
      </c>
      <c r="H393" s="10">
        <f ca="1">IFERROR(__xludf.DUMMYFUNCTION("GOOGLEFINANCE(A393,""marketcap"")"),11189937917)</f>
        <v>11189937917</v>
      </c>
      <c r="I393" s="13">
        <f ca="1">IFERROR(__xludf.DUMMYFUNCTION("GOOGLEFINANCE(A393,""volume"")"),1415270)</f>
        <v>1415270</v>
      </c>
      <c r="J393" s="13">
        <f ca="1">IFERROR(__xludf.DUMMYFUNCTION("GOOGLEFINANCE(A393,""volumeavg"")"),1121085)</f>
        <v>1121085</v>
      </c>
      <c r="K393" s="15">
        <f ca="1">IFERROR(__xludf.DUMMYFUNCTION("GOOGLEFINANCE(A393,""high52"")"),68.47)</f>
        <v>68.47</v>
      </c>
      <c r="L393" s="15">
        <f ca="1">IFERROR(__xludf.DUMMYFUNCTION("GOOGLEFINANCE(A393,""low52"")"),54.72)</f>
        <v>54.72</v>
      </c>
      <c r="M393" s="7">
        <f t="shared" ca="1" si="0"/>
        <v>45379.717931597224</v>
      </c>
    </row>
    <row r="394" spans="1:13">
      <c r="A394" s="4" t="s">
        <v>405</v>
      </c>
      <c r="B394" s="5" t="str">
        <f ca="1">IFERROR(__xludf.DUMMYFUNCTION("GoogleFinance(A394, ""name"")"),"Regeneron Pharmaceuticals Inc")</f>
        <v>Regeneron Pharmaceuticals Inc</v>
      </c>
      <c r="C394" s="15">
        <f ca="1">IFERROR(__xludf.DUMMYFUNCTION("GoogleFinance(A394, ""price"")"),962.49)</f>
        <v>962.49</v>
      </c>
      <c r="D394" s="6">
        <f ca="1">IFERROR(__xludf.DUMMYFUNCTION("GoogleFinance(A394, ""eps"")"),34.77)</f>
        <v>34.770000000000003</v>
      </c>
      <c r="E394" s="6">
        <f ca="1">IFERROR(__xludf.DUMMYFUNCTION("GOOGLEFINANCE(A394,""pe"")"),27.68)</f>
        <v>27.68</v>
      </c>
      <c r="F394" s="6">
        <f ca="1">IFERROR(__xludf.DUMMYFUNCTION("GoogleFinance(A394, ""beta"")"),0.11)</f>
        <v>0.11</v>
      </c>
      <c r="G394" s="13">
        <f ca="1">IFERROR(__xludf.DUMMYFUNCTION("GOOGLEFINANCE(A394,""shares"")"),107944000)</f>
        <v>107944000</v>
      </c>
      <c r="H394" s="10">
        <f ca="1">IFERROR(__xludf.DUMMYFUNCTION("GOOGLEFINANCE(A394,""marketcap"")"),105644633810)</f>
        <v>105644633810</v>
      </c>
      <c r="I394" s="13">
        <f ca="1">IFERROR(__xludf.DUMMYFUNCTION("GOOGLEFINANCE(A394,""volume"")"),461867)</f>
        <v>461867</v>
      </c>
      <c r="J394" s="13">
        <f ca="1">IFERROR(__xludf.DUMMYFUNCTION("GOOGLEFINANCE(A394,""volumeavg"")"),442095)</f>
        <v>442095</v>
      </c>
      <c r="K394" s="15">
        <f ca="1">IFERROR(__xludf.DUMMYFUNCTION("GOOGLEFINANCE(A394,""high52"")"),998.33)</f>
        <v>998.33</v>
      </c>
      <c r="L394" s="15">
        <f ca="1">IFERROR(__xludf.DUMMYFUNCTION("GOOGLEFINANCE(A394,""low52"")"),684.81)</f>
        <v>684.81</v>
      </c>
      <c r="M394" s="7">
        <f t="shared" ca="1" si="0"/>
        <v>45379.717931597224</v>
      </c>
    </row>
    <row r="395" spans="1:13">
      <c r="A395" s="4" t="s">
        <v>406</v>
      </c>
      <c r="B395" s="5" t="str">
        <f ca="1">IFERROR(__xludf.DUMMYFUNCTION("GoogleFinance(A395, ""name"")"),"Regions Financial Corp")</f>
        <v>Regions Financial Corp</v>
      </c>
      <c r="C395" s="15">
        <f ca="1">IFERROR(__xludf.DUMMYFUNCTION("GoogleFinance(A395, ""price"")"),21.04)</f>
        <v>21.04</v>
      </c>
      <c r="D395" s="6">
        <f ca="1">IFERROR(__xludf.DUMMYFUNCTION("GoogleFinance(A395, ""eps"")"),2.11)</f>
        <v>2.11</v>
      </c>
      <c r="E395" s="6">
        <f ca="1">IFERROR(__xludf.DUMMYFUNCTION("GOOGLEFINANCE(A395,""pe"")"),9.99)</f>
        <v>9.99</v>
      </c>
      <c r="F395" s="6">
        <f ca="1">IFERROR(__xludf.DUMMYFUNCTION("GoogleFinance(A395, ""beta"")"),1.19)</f>
        <v>1.19</v>
      </c>
      <c r="G395" s="13">
        <f ca="1">IFERROR(__xludf.DUMMYFUNCTION("GOOGLEFINANCE(A395,""shares"")"),918864000)</f>
        <v>918864000</v>
      </c>
      <c r="H395" s="10">
        <f ca="1">IFERROR(__xludf.DUMMYFUNCTION("GOOGLEFINANCE(A395,""marketcap"")"),19332901505)</f>
        <v>19332901505</v>
      </c>
      <c r="I395" s="13">
        <f ca="1">IFERROR(__xludf.DUMMYFUNCTION("GOOGLEFINANCE(A395,""volume"")"),8206725)</f>
        <v>8206725</v>
      </c>
      <c r="J395" s="13">
        <f ca="1">IFERROR(__xludf.DUMMYFUNCTION("GOOGLEFINANCE(A395,""volumeavg"")"),8429685)</f>
        <v>8429685</v>
      </c>
      <c r="K395" s="15">
        <f ca="1">IFERROR(__xludf.DUMMYFUNCTION("GOOGLEFINANCE(A395,""high52"")"),21.08)</f>
        <v>21.08</v>
      </c>
      <c r="L395" s="15">
        <f ca="1">IFERROR(__xludf.DUMMYFUNCTION("GOOGLEFINANCE(A395,""low52"")"),13.72)</f>
        <v>13.72</v>
      </c>
      <c r="M395" s="7">
        <f t="shared" ca="1" si="0"/>
        <v>45379.717931597224</v>
      </c>
    </row>
    <row r="396" spans="1:13">
      <c r="A396" s="4" t="s">
        <v>407</v>
      </c>
      <c r="B396" s="5" t="str">
        <f ca="1">IFERROR(__xludf.DUMMYFUNCTION("GoogleFinance(A396, ""name"")"),"Robert Half Inc")</f>
        <v>Robert Half Inc</v>
      </c>
      <c r="C396" s="15">
        <f ca="1">IFERROR(__xludf.DUMMYFUNCTION("GoogleFinance(A396, ""price"")"),79.28)</f>
        <v>79.28</v>
      </c>
      <c r="D396" s="6">
        <f ca="1">IFERROR(__xludf.DUMMYFUNCTION("GoogleFinance(A396, ""eps"")"),3.88)</f>
        <v>3.88</v>
      </c>
      <c r="E396" s="6">
        <f ca="1">IFERROR(__xludf.DUMMYFUNCTION("GOOGLEFINANCE(A396,""pe"")"),20.45)</f>
        <v>20.45</v>
      </c>
      <c r="F396" s="6">
        <f ca="1">IFERROR(__xludf.DUMMYFUNCTION("GoogleFinance(A396, ""beta"")"),1.26)</f>
        <v>1.26</v>
      </c>
      <c r="G396" s="13">
        <f ca="1">IFERROR(__xludf.DUMMYFUNCTION("GOOGLEFINANCE(A396,""shares"")"),105209000)</f>
        <v>105209000</v>
      </c>
      <c r="H396" s="10">
        <f ca="1">IFERROR(__xludf.DUMMYFUNCTION("GOOGLEFINANCE(A396,""marketcap"")"),8340929751)</f>
        <v>8340929751</v>
      </c>
      <c r="I396" s="13">
        <f ca="1">IFERROR(__xludf.DUMMYFUNCTION("GOOGLEFINANCE(A396,""volume"")"),1246476)</f>
        <v>1246476</v>
      </c>
      <c r="J396" s="13">
        <f ca="1">IFERROR(__xludf.DUMMYFUNCTION("GOOGLEFINANCE(A396,""volumeavg"")"),987465)</f>
        <v>987465</v>
      </c>
      <c r="K396" s="15">
        <f ca="1">IFERROR(__xludf.DUMMYFUNCTION("GOOGLEFINANCE(A396,""high52"")"),88.39)</f>
        <v>88.39</v>
      </c>
      <c r="L396" s="15">
        <f ca="1">IFERROR(__xludf.DUMMYFUNCTION("GOOGLEFINANCE(A396,""low52"")"),64.65)</f>
        <v>64.650000000000006</v>
      </c>
      <c r="M396" s="7">
        <f t="shared" ca="1" si="0"/>
        <v>45379.717931597224</v>
      </c>
    </row>
    <row r="397" spans="1:13">
      <c r="A397" s="4" t="s">
        <v>408</v>
      </c>
      <c r="B397" s="5" t="str">
        <f ca="1">IFERROR(__xludf.DUMMYFUNCTION("GoogleFinance(A397, ""name"")"),"Raymond James Financial Inc")</f>
        <v>Raymond James Financial Inc</v>
      </c>
      <c r="C397" s="15">
        <f ca="1">IFERROR(__xludf.DUMMYFUNCTION("GoogleFinance(A397, ""price"")"),128.42)</f>
        <v>128.41999999999999</v>
      </c>
      <c r="D397" s="6">
        <f ca="1">IFERROR(__xludf.DUMMYFUNCTION("GoogleFinance(A397, ""eps"")"),8)</f>
        <v>8</v>
      </c>
      <c r="E397" s="6">
        <f ca="1">IFERROR(__xludf.DUMMYFUNCTION("GOOGLEFINANCE(A397,""pe"")"),16.04)</f>
        <v>16.04</v>
      </c>
      <c r="F397" s="6">
        <f ca="1">IFERROR(__xludf.DUMMYFUNCTION("GoogleFinance(A397, ""beta"")"),1.04)</f>
        <v>1.04</v>
      </c>
      <c r="G397" s="13">
        <f ca="1">IFERROR(__xludf.DUMMYFUNCTION("GOOGLEFINANCE(A397,""shares"")"),209028000)</f>
        <v>209028000</v>
      </c>
      <c r="H397" s="10">
        <f ca="1">IFERROR(__xludf.DUMMYFUNCTION("GOOGLEFINANCE(A397,""marketcap"")"),26843324009)</f>
        <v>26843324009</v>
      </c>
      <c r="I397" s="13">
        <f ca="1">IFERROR(__xludf.DUMMYFUNCTION("GOOGLEFINANCE(A397,""volume"")"),1019665)</f>
        <v>1019665</v>
      </c>
      <c r="J397" s="13">
        <f ca="1">IFERROR(__xludf.DUMMYFUNCTION("GOOGLEFINANCE(A397,""volumeavg"")"),893461)</f>
        <v>893461</v>
      </c>
      <c r="K397" s="15">
        <f ca="1">IFERROR(__xludf.DUMMYFUNCTION("GOOGLEFINANCE(A397,""high52"")"),128.72)</f>
        <v>128.72</v>
      </c>
      <c r="L397" s="15">
        <f ca="1">IFERROR(__xludf.DUMMYFUNCTION("GOOGLEFINANCE(A397,""low52"")"),82)</f>
        <v>82</v>
      </c>
      <c r="M397" s="7">
        <f t="shared" ca="1" si="0"/>
        <v>45379.717931597224</v>
      </c>
    </row>
    <row r="398" spans="1:13">
      <c r="A398" s="4" t="s">
        <v>409</v>
      </c>
      <c r="B398" s="5" t="str">
        <f ca="1">IFERROR(__xludf.DUMMYFUNCTION("GoogleFinance(A398, ""name"")"),"Ralph Lauren Corp")</f>
        <v>Ralph Lauren Corp</v>
      </c>
      <c r="C398" s="15">
        <f ca="1">IFERROR(__xludf.DUMMYFUNCTION("GoogleFinance(A398, ""price"")"),187.76)</f>
        <v>187.76</v>
      </c>
      <c r="D398" s="6">
        <f ca="1">IFERROR(__xludf.DUMMYFUNCTION("GoogleFinance(A398, ""eps"")"),8.81)</f>
        <v>8.81</v>
      </c>
      <c r="E398" s="6">
        <f ca="1">IFERROR(__xludf.DUMMYFUNCTION("GOOGLEFINANCE(A398,""pe"")"),21.3)</f>
        <v>21.3</v>
      </c>
      <c r="F398" s="6">
        <f ca="1">IFERROR(__xludf.DUMMYFUNCTION("GoogleFinance(A398, ""beta"")"),1.53)</f>
        <v>1.53</v>
      </c>
      <c r="G398" s="13">
        <f ca="1">IFERROR(__xludf.DUMMYFUNCTION("GOOGLEFINANCE(A398,""shares"")"),39044000)</f>
        <v>39044000</v>
      </c>
      <c r="H398" s="10">
        <f ca="1">IFERROR(__xludf.DUMMYFUNCTION("GOOGLEFINANCE(A398,""marketcap"")"),12002664672)</f>
        <v>12002664672</v>
      </c>
      <c r="I398" s="13">
        <f ca="1">IFERROR(__xludf.DUMMYFUNCTION("GOOGLEFINANCE(A398,""volume"")"),519210)</f>
        <v>519210</v>
      </c>
      <c r="J398" s="13">
        <f ca="1">IFERROR(__xludf.DUMMYFUNCTION("GOOGLEFINANCE(A398,""volumeavg"")"),1024848)</f>
        <v>1024848</v>
      </c>
      <c r="K398" s="15">
        <f ca="1">IFERROR(__xludf.DUMMYFUNCTION("GOOGLEFINANCE(A398,""high52"")"),192.03)</f>
        <v>192.03</v>
      </c>
      <c r="L398" s="15">
        <f ca="1">IFERROR(__xludf.DUMMYFUNCTION("GOOGLEFINANCE(A398,""low52"")"),103.17)</f>
        <v>103.17</v>
      </c>
      <c r="M398" s="7">
        <f t="shared" ca="1" si="0"/>
        <v>45379.717931597224</v>
      </c>
    </row>
    <row r="399" spans="1:13">
      <c r="A399" s="4" t="s">
        <v>410</v>
      </c>
      <c r="B399" s="5" t="str">
        <f ca="1">IFERROR(__xludf.DUMMYFUNCTION("GoogleFinance(A399, ""name"")"),"Resmed Inc")</f>
        <v>Resmed Inc</v>
      </c>
      <c r="C399" s="15">
        <f ca="1">IFERROR(__xludf.DUMMYFUNCTION("GoogleFinance(A399, ""price"")"),198.03)</f>
        <v>198.03</v>
      </c>
      <c r="D399" s="6">
        <f ca="1">IFERROR(__xludf.DUMMYFUNCTION("GoogleFinance(A399, ""eps"")"),6.04)</f>
        <v>6.04</v>
      </c>
      <c r="E399" s="6">
        <f ca="1">IFERROR(__xludf.DUMMYFUNCTION("GOOGLEFINANCE(A399,""pe"")"),32.81)</f>
        <v>32.81</v>
      </c>
      <c r="F399" s="6">
        <f ca="1">IFERROR(__xludf.DUMMYFUNCTION("GoogleFinance(A399, ""beta"")"),0.65)</f>
        <v>0.65</v>
      </c>
      <c r="G399" s="13">
        <f ca="1">IFERROR(__xludf.DUMMYFUNCTION("GOOGLEFINANCE(A399,""shares"")"),147089000)</f>
        <v>147089000</v>
      </c>
      <c r="H399" s="10">
        <f ca="1">IFERROR(__xludf.DUMMYFUNCTION("GOOGLEFINANCE(A399,""marketcap"")"),29127994884)</f>
        <v>29127994884</v>
      </c>
      <c r="I399" s="13">
        <f ca="1">IFERROR(__xludf.DUMMYFUNCTION("GOOGLEFINANCE(A399,""volume"")"),622621)</f>
        <v>622621</v>
      </c>
      <c r="J399" s="13">
        <f ca="1">IFERROR(__xludf.DUMMYFUNCTION("GOOGLEFINANCE(A399,""volumeavg"")"),999116)</f>
        <v>999116</v>
      </c>
      <c r="K399" s="15">
        <f ca="1">IFERROR(__xludf.DUMMYFUNCTION("GOOGLEFINANCE(A399,""high52"")"),243.52)</f>
        <v>243.52</v>
      </c>
      <c r="L399" s="15">
        <f ca="1">IFERROR(__xludf.DUMMYFUNCTION("GOOGLEFINANCE(A399,""low52"")"),132.24)</f>
        <v>132.24</v>
      </c>
      <c r="M399" s="7">
        <f t="shared" ca="1" si="0"/>
        <v>45379.717931597224</v>
      </c>
    </row>
    <row r="400" spans="1:13">
      <c r="A400" s="4" t="s">
        <v>411</v>
      </c>
      <c r="B400" s="5" t="str">
        <f ca="1">IFERROR(__xludf.DUMMYFUNCTION("GoogleFinance(A400, ""name"")"),"Rockwell Automation Inc")</f>
        <v>Rockwell Automation Inc</v>
      </c>
      <c r="C400" s="15">
        <f ca="1">IFERROR(__xludf.DUMMYFUNCTION("GoogleFinance(A400, ""price"")"),291.33)</f>
        <v>291.33</v>
      </c>
      <c r="D400" s="6">
        <f ca="1">IFERROR(__xludf.DUMMYFUNCTION("GoogleFinance(A400, ""eps"")"),10.5)</f>
        <v>10.5</v>
      </c>
      <c r="E400" s="6">
        <f ca="1">IFERROR(__xludf.DUMMYFUNCTION("GOOGLEFINANCE(A400,""pe"")"),27.74)</f>
        <v>27.74</v>
      </c>
      <c r="F400" s="6">
        <f ca="1">IFERROR(__xludf.DUMMYFUNCTION("GoogleFinance(A400, ""beta"")"),1.43)</f>
        <v>1.43</v>
      </c>
      <c r="G400" s="13">
        <f ca="1">IFERROR(__xludf.DUMMYFUNCTION("GOOGLEFINANCE(A400,""shares"")"),114592000)</f>
        <v>114592000</v>
      </c>
      <c r="H400" s="10">
        <f ca="1">IFERROR(__xludf.DUMMYFUNCTION("GOOGLEFINANCE(A400,""marketcap"")"),33384085821)</f>
        <v>33384085821</v>
      </c>
      <c r="I400" s="13">
        <f ca="1">IFERROR(__xludf.DUMMYFUNCTION("GOOGLEFINANCE(A400,""volume"")"),605702)</f>
        <v>605702</v>
      </c>
      <c r="J400" s="13">
        <f ca="1">IFERROR(__xludf.DUMMYFUNCTION("GOOGLEFINANCE(A400,""volumeavg"")"),1007315)</f>
        <v>1007315</v>
      </c>
      <c r="K400" s="15">
        <f ca="1">IFERROR(__xludf.DUMMYFUNCTION("GOOGLEFINANCE(A400,""high52"")"),348.52)</f>
        <v>348.52</v>
      </c>
      <c r="L400" s="15">
        <f ca="1">IFERROR(__xludf.DUMMYFUNCTION("GOOGLEFINANCE(A400,""low52"")"),252.11)</f>
        <v>252.11</v>
      </c>
      <c r="M400" s="7">
        <f t="shared" ca="1" si="0"/>
        <v>45379.717931597224</v>
      </c>
    </row>
    <row r="401" spans="1:13">
      <c r="A401" s="4" t="s">
        <v>412</v>
      </c>
      <c r="B401" s="5" t="str">
        <f ca="1">IFERROR(__xludf.DUMMYFUNCTION("GoogleFinance(A401, ""name"")"),"Rollins Inc")</f>
        <v>Rollins Inc</v>
      </c>
      <c r="C401" s="15">
        <f ca="1">IFERROR(__xludf.DUMMYFUNCTION("GoogleFinance(A401, ""price"")"),46.27)</f>
        <v>46.27</v>
      </c>
      <c r="D401" s="6">
        <f ca="1">IFERROR(__xludf.DUMMYFUNCTION("GoogleFinance(A401, ""eps"")"),0.89)</f>
        <v>0.89</v>
      </c>
      <c r="E401" s="6">
        <f ca="1">IFERROR(__xludf.DUMMYFUNCTION("GOOGLEFINANCE(A401,""pe"")"),52.14)</f>
        <v>52.14</v>
      </c>
      <c r="F401" s="6">
        <f ca="1">IFERROR(__xludf.DUMMYFUNCTION("GoogleFinance(A401, ""beta"")"),0.63)</f>
        <v>0.63</v>
      </c>
      <c r="G401" s="13">
        <f ca="1">IFERROR(__xludf.DUMMYFUNCTION("GOOGLEFINANCE(A401,""shares"")"),483885000)</f>
        <v>483885000</v>
      </c>
      <c r="H401" s="10">
        <f ca="1">IFERROR(__xludf.DUMMYFUNCTION("GOOGLEFINANCE(A401,""marketcap"")"),22419448552)</f>
        <v>22419448552</v>
      </c>
      <c r="I401" s="13">
        <f ca="1">IFERROR(__xludf.DUMMYFUNCTION("GOOGLEFINANCE(A401,""volume"")"),1365339)</f>
        <v>1365339</v>
      </c>
      <c r="J401" s="13">
        <f ca="1">IFERROR(__xludf.DUMMYFUNCTION("GOOGLEFINANCE(A401,""volumeavg"")"),2216733)</f>
        <v>2216733</v>
      </c>
      <c r="K401" s="15">
        <f ca="1">IFERROR(__xludf.DUMMYFUNCTION("GOOGLEFINANCE(A401,""high52"")"),47.45)</f>
        <v>47.45</v>
      </c>
      <c r="L401" s="15">
        <f ca="1">IFERROR(__xludf.DUMMYFUNCTION("GOOGLEFINANCE(A401,""low52"")"),32.19)</f>
        <v>32.19</v>
      </c>
      <c r="M401" s="7">
        <f t="shared" ca="1" si="0"/>
        <v>45379.717931597224</v>
      </c>
    </row>
    <row r="402" spans="1:13">
      <c r="A402" s="4" t="s">
        <v>413</v>
      </c>
      <c r="B402" s="5" t="str">
        <f ca="1">IFERROR(__xludf.DUMMYFUNCTION("GoogleFinance(A402, ""name"")"),"Roper Technologies Inc")</f>
        <v>Roper Technologies Inc</v>
      </c>
      <c r="C402" s="15">
        <f ca="1">IFERROR(__xludf.DUMMYFUNCTION("GoogleFinance(A402, ""price"")"),560.84)</f>
        <v>560.84</v>
      </c>
      <c r="D402" s="6">
        <f ca="1">IFERROR(__xludf.DUMMYFUNCTION("GoogleFinance(A402, ""eps"")"),12.74)</f>
        <v>12.74</v>
      </c>
      <c r="E402" s="6">
        <f ca="1">IFERROR(__xludf.DUMMYFUNCTION("GOOGLEFINANCE(A402,""pe"")"),44.02)</f>
        <v>44.02</v>
      </c>
      <c r="F402" s="6">
        <f ca="1">IFERROR(__xludf.DUMMYFUNCTION("GoogleFinance(A402, ""beta"")"),0.99)</f>
        <v>0.99</v>
      </c>
      <c r="G402" s="13">
        <f ca="1">IFERROR(__xludf.DUMMYFUNCTION("GOOGLEFINANCE(A402,""shares"")"),107022000)</f>
        <v>107022000</v>
      </c>
      <c r="H402" s="10">
        <f ca="1">IFERROR(__xludf.DUMMYFUNCTION("GOOGLEFINANCE(A402,""marketcap"")"),60022389606)</f>
        <v>60022389606</v>
      </c>
      <c r="I402" s="13">
        <f ca="1">IFERROR(__xludf.DUMMYFUNCTION("GOOGLEFINANCE(A402,""volume"")"),478082)</f>
        <v>478082</v>
      </c>
      <c r="J402" s="13">
        <f ca="1">IFERROR(__xludf.DUMMYFUNCTION("GOOGLEFINANCE(A402,""volumeavg"")"),516882)</f>
        <v>516882</v>
      </c>
      <c r="K402" s="15">
        <f ca="1">IFERROR(__xludf.DUMMYFUNCTION("GOOGLEFINANCE(A402,""high52"")"),563.15)</f>
        <v>563.15</v>
      </c>
      <c r="L402" s="15">
        <f ca="1">IFERROR(__xludf.DUMMYFUNCTION("GOOGLEFINANCE(A402,""low52"")"),430.03)</f>
        <v>430.03</v>
      </c>
      <c r="M402" s="7">
        <f t="shared" ca="1" si="0"/>
        <v>45379.717931597224</v>
      </c>
    </row>
    <row r="403" spans="1:13">
      <c r="A403" s="4" t="s">
        <v>414</v>
      </c>
      <c r="B403" s="5" t="str">
        <f ca="1">IFERROR(__xludf.DUMMYFUNCTION("GoogleFinance(A403, ""name"")"),"Ross Stores Inc")</f>
        <v>Ross Stores Inc</v>
      </c>
      <c r="C403" s="15">
        <f ca="1">IFERROR(__xludf.DUMMYFUNCTION("GoogleFinance(A403, ""price"")"),146.76)</f>
        <v>146.76</v>
      </c>
      <c r="D403" s="6">
        <f ca="1">IFERROR(__xludf.DUMMYFUNCTION("GoogleFinance(A403, ""eps"")"),5.56)</f>
        <v>5.56</v>
      </c>
      <c r="E403" s="6">
        <f ca="1">IFERROR(__xludf.DUMMYFUNCTION("GOOGLEFINANCE(A403,""pe"")"),26.42)</f>
        <v>26.42</v>
      </c>
      <c r="F403" s="6">
        <f ca="1">IFERROR(__xludf.DUMMYFUNCTION("GoogleFinance(A403, ""beta"")"),1.04)</f>
        <v>1.04</v>
      </c>
      <c r="G403" s="13">
        <f ca="1">IFERROR(__xludf.DUMMYFUNCTION("GOOGLEFINANCE(A403,""shares"")"),336666000)</f>
        <v>336666000</v>
      </c>
      <c r="H403" s="10">
        <f ca="1">IFERROR(__xludf.DUMMYFUNCTION("GOOGLEFINANCE(A403,""marketcap"")"),49409129662)</f>
        <v>49409129662</v>
      </c>
      <c r="I403" s="13">
        <f ca="1">IFERROR(__xludf.DUMMYFUNCTION("GOOGLEFINANCE(A403,""volume"")"),1960012)</f>
        <v>1960012</v>
      </c>
      <c r="J403" s="13">
        <f ca="1">IFERROR(__xludf.DUMMYFUNCTION("GOOGLEFINANCE(A403,""volumeavg"")"),2253975)</f>
        <v>2253975</v>
      </c>
      <c r="K403" s="15">
        <f ca="1">IFERROR(__xludf.DUMMYFUNCTION("GOOGLEFINANCE(A403,""high52"")"),151.12)</f>
        <v>151.12</v>
      </c>
      <c r="L403" s="15">
        <f ca="1">IFERROR(__xludf.DUMMYFUNCTION("GOOGLEFINANCE(A403,""low52"")"),99)</f>
        <v>99</v>
      </c>
      <c r="M403" s="7">
        <f t="shared" ca="1" si="0"/>
        <v>45379.717931597224</v>
      </c>
    </row>
    <row r="404" spans="1:13">
      <c r="A404" s="4" t="s">
        <v>415</v>
      </c>
      <c r="B404" s="5" t="str">
        <f ca="1">IFERROR(__xludf.DUMMYFUNCTION("GoogleFinance(A404, ""name"")"),"Republic Services Inc")</f>
        <v>Republic Services Inc</v>
      </c>
      <c r="C404" s="15">
        <f ca="1">IFERROR(__xludf.DUMMYFUNCTION("GoogleFinance(A404, ""price"")"),191.44)</f>
        <v>191.44</v>
      </c>
      <c r="D404" s="6">
        <f ca="1">IFERROR(__xludf.DUMMYFUNCTION("GoogleFinance(A404, ""eps"")"),5.47)</f>
        <v>5.47</v>
      </c>
      <c r="E404" s="6">
        <f ca="1">IFERROR(__xludf.DUMMYFUNCTION("GOOGLEFINANCE(A404,""pe"")"),35.03)</f>
        <v>35.03</v>
      </c>
      <c r="F404" s="6">
        <f ca="1">IFERROR(__xludf.DUMMYFUNCTION("GoogleFinance(A404, ""beta"")"),0.67)</f>
        <v>0.67</v>
      </c>
      <c r="G404" s="13">
        <f ca="1">IFERROR(__xludf.DUMMYFUNCTION("GOOGLEFINANCE(A404,""shares"")"),314611000)</f>
        <v>314611000</v>
      </c>
      <c r="H404" s="10">
        <f ca="1">IFERROR(__xludf.DUMMYFUNCTION("GOOGLEFINANCE(A404,""marketcap"")"),60229034888)</f>
        <v>60229034888</v>
      </c>
      <c r="I404" s="13">
        <f ca="1">IFERROR(__xludf.DUMMYFUNCTION("GOOGLEFINANCE(A404,""volume"")"),1187601)</f>
        <v>1187601</v>
      </c>
      <c r="J404" s="13">
        <f ca="1">IFERROR(__xludf.DUMMYFUNCTION("GOOGLEFINANCE(A404,""volumeavg"")"),1211622)</f>
        <v>1211622</v>
      </c>
      <c r="K404" s="15">
        <f ca="1">IFERROR(__xludf.DUMMYFUNCTION("GOOGLEFINANCE(A404,""high52"")"),192.57)</f>
        <v>192.57</v>
      </c>
      <c r="L404" s="15">
        <f ca="1">IFERROR(__xludf.DUMMYFUNCTION("GOOGLEFINANCE(A404,""low52"")"),131.5)</f>
        <v>131.5</v>
      </c>
      <c r="M404" s="7">
        <f t="shared" ca="1" si="0"/>
        <v>45379.717931597224</v>
      </c>
    </row>
    <row r="405" spans="1:13">
      <c r="A405" s="4" t="s">
        <v>416</v>
      </c>
      <c r="B405" s="5" t="str">
        <f ca="1">IFERROR(__xludf.DUMMYFUNCTION("GoogleFinance(A405, ""name"")"),"Rtx Corp")</f>
        <v>Rtx Corp</v>
      </c>
      <c r="C405" s="15">
        <f ca="1">IFERROR(__xludf.DUMMYFUNCTION("GoogleFinance(A405, ""price"")"),97.53)</f>
        <v>97.53</v>
      </c>
      <c r="D405" s="6">
        <f ca="1">IFERROR(__xludf.DUMMYFUNCTION("GoogleFinance(A405, ""eps"")"),2.23)</f>
        <v>2.23</v>
      </c>
      <c r="E405" s="6">
        <f ca="1">IFERROR(__xludf.DUMMYFUNCTION("GOOGLEFINANCE(A405,""pe"")"),43.82)</f>
        <v>43.82</v>
      </c>
      <c r="F405" s="6">
        <f ca="1">IFERROR(__xludf.DUMMYFUNCTION("GoogleFinance(A405, ""beta"")"),1)</f>
        <v>1</v>
      </c>
      <c r="G405" s="13">
        <f ca="1">IFERROR(__xludf.DUMMYFUNCTION("GOOGLEFINANCE(A405,""shares"")"),1329645000)</f>
        <v>1329645000</v>
      </c>
      <c r="H405" s="10">
        <f ca="1">IFERROR(__xludf.DUMMYFUNCTION("GOOGLEFINANCE(A405,""marketcap"")"),129680177696)</f>
        <v>129680177696</v>
      </c>
      <c r="I405" s="13">
        <f ca="1">IFERROR(__xludf.DUMMYFUNCTION("GOOGLEFINANCE(A405,""volume"")"),10700955)</f>
        <v>10700955</v>
      </c>
      <c r="J405" s="13">
        <f ca="1">IFERROR(__xludf.DUMMYFUNCTION("GOOGLEFINANCE(A405,""volumeavg"")"),7888986)</f>
        <v>7888986</v>
      </c>
      <c r="K405" s="15">
        <f ca="1">IFERROR(__xludf.DUMMYFUNCTION("GOOGLEFINANCE(A405,""high52"")"),104.91)</f>
        <v>104.91</v>
      </c>
      <c r="L405" s="15">
        <f ca="1">IFERROR(__xludf.DUMMYFUNCTION("GOOGLEFINANCE(A405,""low52"")"),68.56)</f>
        <v>68.56</v>
      </c>
      <c r="M405" s="7">
        <f t="shared" ca="1" si="0"/>
        <v>45379.717931597224</v>
      </c>
    </row>
    <row r="406" spans="1:13">
      <c r="A406" s="4" t="s">
        <v>417</v>
      </c>
      <c r="B406" s="5" t="str">
        <f ca="1">IFERROR(__xludf.DUMMYFUNCTION("GoogleFinance(A406, ""name"")"),"Revvity Inc")</f>
        <v>Revvity Inc</v>
      </c>
      <c r="C406" s="15">
        <f ca="1">IFERROR(__xludf.DUMMYFUNCTION("GoogleFinance(A406, ""price"")"),105)</f>
        <v>105</v>
      </c>
      <c r="D406" s="6">
        <f ca="1">IFERROR(__xludf.DUMMYFUNCTION("GoogleFinance(A406, ""eps"")"),4.06)</f>
        <v>4.0599999999999996</v>
      </c>
      <c r="E406" s="6">
        <f ca="1">IFERROR(__xludf.DUMMYFUNCTION("GOOGLEFINANCE(A406,""pe"")"),28.42)</f>
        <v>28.42</v>
      </c>
      <c r="F406" s="6">
        <f ca="1">IFERROR(__xludf.DUMMYFUNCTION("GoogleFinance(A406, ""beta"")"),1.1)</f>
        <v>1.1000000000000001</v>
      </c>
      <c r="G406" s="13">
        <f ca="1">IFERROR(__xludf.DUMMYFUNCTION("GOOGLEFINANCE(A406,""shares"")"),126412000)</f>
        <v>126412000</v>
      </c>
      <c r="H406" s="10">
        <f ca="1">IFERROR(__xludf.DUMMYFUNCTION("GOOGLEFINANCE(A406,""marketcap"")"),13020750000)</f>
        <v>13020750000</v>
      </c>
      <c r="I406" s="13">
        <f ca="1">IFERROR(__xludf.DUMMYFUNCTION("GOOGLEFINANCE(A406,""volume"")"),656207)</f>
        <v>656207</v>
      </c>
      <c r="J406" s="13">
        <f ca="1">IFERROR(__xludf.DUMMYFUNCTION("GOOGLEFINANCE(A406,""volumeavg"")"),711879)</f>
        <v>711879</v>
      </c>
      <c r="K406" s="15">
        <f ca="1">IFERROR(__xludf.DUMMYFUNCTION("GOOGLEFINANCE(A406,""high52"")"),139.04)</f>
        <v>139.04</v>
      </c>
      <c r="L406" s="15">
        <f ca="1">IFERROR(__xludf.DUMMYFUNCTION("GOOGLEFINANCE(A406,""low52"")"),79.5)</f>
        <v>79.5</v>
      </c>
      <c r="M406" s="7">
        <f t="shared" ca="1" si="0"/>
        <v>45379.717931597224</v>
      </c>
    </row>
    <row r="407" spans="1:13">
      <c r="A407" s="4" t="s">
        <v>418</v>
      </c>
      <c r="B407" s="5" t="str">
        <f ca="1">IFERROR(__xludf.DUMMYFUNCTION("GoogleFinance(A407, ""name"")"),"SBA Communications Corp")</f>
        <v>SBA Communications Corp</v>
      </c>
      <c r="C407" s="15">
        <f ca="1">IFERROR(__xludf.DUMMYFUNCTION("GoogleFinance(A407, ""price"")"),216.7)</f>
        <v>216.7</v>
      </c>
      <c r="D407" s="6">
        <f ca="1">IFERROR(__xludf.DUMMYFUNCTION("GoogleFinance(A407, ""eps"")"),4.61)</f>
        <v>4.6100000000000003</v>
      </c>
      <c r="E407" s="6">
        <f ca="1">IFERROR(__xludf.DUMMYFUNCTION("GOOGLEFINANCE(A407,""pe"")"),47.03)</f>
        <v>47.03</v>
      </c>
      <c r="F407" s="6">
        <f ca="1">IFERROR(__xludf.DUMMYFUNCTION("GoogleFinance(A407, ""beta"")"),0.56)</f>
        <v>0.56000000000000005</v>
      </c>
      <c r="G407" s="13">
        <f ca="1">IFERROR(__xludf.DUMMYFUNCTION("GOOGLEFINANCE(A407,""shares"")"),108109000)</f>
        <v>108109000</v>
      </c>
      <c r="H407" s="10">
        <f ca="1">IFERROR(__xludf.DUMMYFUNCTION("GOOGLEFINANCE(A407,""marketcap"")"),23427133290)</f>
        <v>23427133290</v>
      </c>
      <c r="I407" s="13">
        <f ca="1">IFERROR(__xludf.DUMMYFUNCTION("GOOGLEFINANCE(A407,""volume"")"),888826)</f>
        <v>888826</v>
      </c>
      <c r="J407" s="13">
        <f ca="1">IFERROR(__xludf.DUMMYFUNCTION("GOOGLEFINANCE(A407,""volumeavg"")"),1149941)</f>
        <v>1149941</v>
      </c>
      <c r="K407" s="15">
        <f ca="1">IFERROR(__xludf.DUMMYFUNCTION("GOOGLEFINANCE(A407,""high52"")"),267.42)</f>
        <v>267.42</v>
      </c>
      <c r="L407" s="15">
        <f ca="1">IFERROR(__xludf.DUMMYFUNCTION("GOOGLEFINANCE(A407,""low52"")"),185.23)</f>
        <v>185.23</v>
      </c>
      <c r="M407" s="7">
        <f t="shared" ca="1" si="0"/>
        <v>45379.717931597224</v>
      </c>
    </row>
    <row r="408" spans="1:13">
      <c r="A408" s="4" t="s">
        <v>419</v>
      </c>
      <c r="B408" s="5" t="str">
        <f ca="1">IFERROR(__xludf.DUMMYFUNCTION("GoogleFinance(A408, ""name"")"),"Starbucks Corp")</f>
        <v>Starbucks Corp</v>
      </c>
      <c r="C408" s="15">
        <f ca="1">IFERROR(__xludf.DUMMYFUNCTION("GoogleFinance(A408, ""price"")"),91.39)</f>
        <v>91.39</v>
      </c>
      <c r="D408" s="6">
        <f ca="1">IFERROR(__xludf.DUMMYFUNCTION("GoogleFinance(A408, ""eps"")"),3.74)</f>
        <v>3.74</v>
      </c>
      <c r="E408" s="6">
        <f ca="1">IFERROR(__xludf.DUMMYFUNCTION("GOOGLEFINANCE(A408,""pe"")"),24.44)</f>
        <v>24.44</v>
      </c>
      <c r="F408" s="6">
        <f ca="1">IFERROR(__xludf.DUMMYFUNCTION("GoogleFinance(A408, ""beta"")"),0.98)</f>
        <v>0.98</v>
      </c>
      <c r="G408" s="13">
        <f ca="1">IFERROR(__xludf.DUMMYFUNCTION("GOOGLEFINANCE(A408,""shares"")"),1132200000)</f>
        <v>1132200000</v>
      </c>
      <c r="H408" s="10">
        <f ca="1">IFERROR(__xludf.DUMMYFUNCTION("GOOGLEFINANCE(A408,""marketcap"")"),103471757308)</f>
        <v>103471757308</v>
      </c>
      <c r="I408" s="13">
        <f ca="1">IFERROR(__xludf.DUMMYFUNCTION("GOOGLEFINANCE(A408,""volume"")"),6784268)</f>
        <v>6784268</v>
      </c>
      <c r="J408" s="13">
        <f ca="1">IFERROR(__xludf.DUMMYFUNCTION("GOOGLEFINANCE(A408,""volumeavg"")"),7636166)</f>
        <v>7636166</v>
      </c>
      <c r="K408" s="15">
        <f ca="1">IFERROR(__xludf.DUMMYFUNCTION("GOOGLEFINANCE(A408,""high52"")"),115.48)</f>
        <v>115.48</v>
      </c>
      <c r="L408" s="15">
        <f ca="1">IFERROR(__xludf.DUMMYFUNCTION("GOOGLEFINANCE(A408,""low52"")"),89.21)</f>
        <v>89.21</v>
      </c>
      <c r="M408" s="7">
        <f t="shared" ca="1" si="0"/>
        <v>45379.717931597224</v>
      </c>
    </row>
    <row r="409" spans="1:13">
      <c r="A409" s="4" t="s">
        <v>420</v>
      </c>
      <c r="B409" s="5" t="str">
        <f ca="1">IFERROR(__xludf.DUMMYFUNCTION("GoogleFinance(A409, ""name"")"),"Charles Schwab Corporation Common Stock")</f>
        <v>Charles Schwab Corporation Common Stock</v>
      </c>
      <c r="C409" s="15">
        <f ca="1">IFERROR(__xludf.DUMMYFUNCTION("GoogleFinance(A409, ""price"")"),72.34)</f>
        <v>72.34</v>
      </c>
      <c r="D409" s="6">
        <f ca="1">IFERROR(__xludf.DUMMYFUNCTION("GoogleFinance(A409, ""eps"")"),2.61)</f>
        <v>2.61</v>
      </c>
      <c r="E409" s="6">
        <f ca="1">IFERROR(__xludf.DUMMYFUNCTION("GOOGLEFINANCE(A409,""pe"")"),27.72)</f>
        <v>27.72</v>
      </c>
      <c r="F409" s="6">
        <f ca="1">IFERROR(__xludf.DUMMYFUNCTION("GoogleFinance(A409, ""beta"")"),1)</f>
        <v>1</v>
      </c>
      <c r="G409" s="13">
        <f ca="1">IFERROR(__xludf.DUMMYFUNCTION("GOOGLEFINANCE(A409,""shares"")"),1773475000)</f>
        <v>1773475000</v>
      </c>
      <c r="H409" s="10">
        <f ca="1">IFERROR(__xludf.DUMMYFUNCTION("GOOGLEFINANCE(A409,""marketcap"")"),131974774438)</f>
        <v>131974774438</v>
      </c>
      <c r="I409" s="13">
        <f ca="1">IFERROR(__xludf.DUMMYFUNCTION("GOOGLEFINANCE(A409,""volume"")"),6864987)</f>
        <v>6864987</v>
      </c>
      <c r="J409" s="13">
        <f ca="1">IFERROR(__xludf.DUMMYFUNCTION("GOOGLEFINANCE(A409,""volumeavg"")"),7171666)</f>
        <v>7171666</v>
      </c>
      <c r="K409" s="15">
        <f ca="1">IFERROR(__xludf.DUMMYFUNCTION("GOOGLEFINANCE(A409,""high52"")"),72.94)</f>
        <v>72.94</v>
      </c>
      <c r="L409" s="15">
        <f ca="1">IFERROR(__xludf.DUMMYFUNCTION("GOOGLEFINANCE(A409,""low52"")"),45.65)</f>
        <v>45.65</v>
      </c>
      <c r="M409" s="7">
        <f t="shared" ca="1" si="0"/>
        <v>45379.717931597224</v>
      </c>
    </row>
    <row r="410" spans="1:13">
      <c r="A410" s="4" t="s">
        <v>421</v>
      </c>
      <c r="B410" s="5" t="str">
        <f ca="1">IFERROR(__xludf.DUMMYFUNCTION("GoogleFinance(A410, ""name"")"),"Solaredge Technologies Inc")</f>
        <v>Solaredge Technologies Inc</v>
      </c>
      <c r="C410" s="15">
        <f ca="1">IFERROR(__xludf.DUMMYFUNCTION("GoogleFinance(A410, ""price"")"),70.98)</f>
        <v>70.98</v>
      </c>
      <c r="D410" s="6">
        <f ca="1">IFERROR(__xludf.DUMMYFUNCTION("GoogleFinance(A410, ""eps"")"),0.6)</f>
        <v>0.6</v>
      </c>
      <c r="E410" s="6">
        <f ca="1">IFERROR(__xludf.DUMMYFUNCTION("GOOGLEFINANCE(A410,""pe"")"),118.35)</f>
        <v>118.35</v>
      </c>
      <c r="F410" s="6">
        <f ca="1">IFERROR(__xludf.DUMMYFUNCTION("GoogleFinance(A410, ""beta"")"),1.5)</f>
        <v>1.5</v>
      </c>
      <c r="G410" s="13">
        <f ca="1">IFERROR(__xludf.DUMMYFUNCTION("GOOGLEFINANCE(A410,""shares"")"),57126000)</f>
        <v>57126000</v>
      </c>
      <c r="H410" s="10">
        <f ca="1">IFERROR(__xludf.DUMMYFUNCTION("GOOGLEFINANCE(A410,""marketcap"")"),4054805091)</f>
        <v>4054805091</v>
      </c>
      <c r="I410" s="13">
        <f ca="1">IFERROR(__xludf.DUMMYFUNCTION("GOOGLEFINANCE(A410,""volume"")"),1430262)</f>
        <v>1430262</v>
      </c>
      <c r="J410" s="13">
        <f ca="1">IFERROR(__xludf.DUMMYFUNCTION("GOOGLEFINANCE(A410,""volumeavg"")"),2432670)</f>
        <v>2432670</v>
      </c>
      <c r="K410" s="15">
        <f ca="1">IFERROR(__xludf.DUMMYFUNCTION("GOOGLEFINANCE(A410,""high52"")"),322.19)</f>
        <v>322.19</v>
      </c>
      <c r="L410" s="15">
        <f ca="1">IFERROR(__xludf.DUMMYFUNCTION("GOOGLEFINANCE(A410,""low52"")"),60.44)</f>
        <v>60.44</v>
      </c>
      <c r="M410" s="7">
        <f t="shared" ca="1" si="0"/>
        <v>45379.717931597224</v>
      </c>
    </row>
    <row r="411" spans="1:13">
      <c r="A411" s="4" t="s">
        <v>422</v>
      </c>
      <c r="B411" s="5" t="str">
        <f ca="1">IFERROR(__xludf.DUMMYFUNCTION("GoogleFinance(A411, ""name"")"),"Sealed Air Corp")</f>
        <v>Sealed Air Corp</v>
      </c>
      <c r="C411" s="15">
        <f ca="1">IFERROR(__xludf.DUMMYFUNCTION("GoogleFinance(A411, ""price"")"),37.2)</f>
        <v>37.200000000000003</v>
      </c>
      <c r="D411" s="6">
        <f ca="1">IFERROR(__xludf.DUMMYFUNCTION("GoogleFinance(A411, ""eps"")"),2.34)</f>
        <v>2.34</v>
      </c>
      <c r="E411" s="6">
        <f ca="1">IFERROR(__xludf.DUMMYFUNCTION("GOOGLEFINANCE(A411,""pe"")"),15.89)</f>
        <v>15.89</v>
      </c>
      <c r="F411" s="6">
        <f ca="1">IFERROR(__xludf.DUMMYFUNCTION("GoogleFinance(A411, ""beta"")"),1.27)</f>
        <v>1.27</v>
      </c>
      <c r="G411" s="13">
        <f ca="1">IFERROR(__xludf.DUMMYFUNCTION("GOOGLEFINANCE(A411,""shares"")"),144494000)</f>
        <v>144494000</v>
      </c>
      <c r="H411" s="10">
        <f ca="1">IFERROR(__xludf.DUMMYFUNCTION("GOOGLEFINANCE(A411,""marketcap"")"),5375165750)</f>
        <v>5375165750</v>
      </c>
      <c r="I411" s="13">
        <f ca="1">IFERROR(__xludf.DUMMYFUNCTION("GOOGLEFINANCE(A411,""volume"")"),1147802)</f>
        <v>1147802</v>
      </c>
      <c r="J411" s="13">
        <f ca="1">IFERROR(__xludf.DUMMYFUNCTION("GOOGLEFINANCE(A411,""volumeavg"")"),1559692)</f>
        <v>1559692</v>
      </c>
      <c r="K411" s="15">
        <f ca="1">IFERROR(__xludf.DUMMYFUNCTION("GOOGLEFINANCE(A411,""high52"")"),48.44)</f>
        <v>48.44</v>
      </c>
      <c r="L411" s="15">
        <f ca="1">IFERROR(__xludf.DUMMYFUNCTION("GOOGLEFINANCE(A411,""low52"")"),28.5)</f>
        <v>28.5</v>
      </c>
      <c r="M411" s="7">
        <f t="shared" ca="1" si="0"/>
        <v>45379.717931597224</v>
      </c>
    </row>
    <row r="412" spans="1:13">
      <c r="A412" s="4" t="s">
        <v>423</v>
      </c>
      <c r="B412" s="5" t="str">
        <f ca="1">IFERROR(__xludf.DUMMYFUNCTION("GoogleFinance(A412, ""name"")"),"Sherwin-Williams Co")</f>
        <v>Sherwin-Williams Co</v>
      </c>
      <c r="C412" s="15">
        <f ca="1">IFERROR(__xludf.DUMMYFUNCTION("GoogleFinance(A412, ""price"")"),347.33)</f>
        <v>347.33</v>
      </c>
      <c r="D412" s="6">
        <f ca="1">IFERROR(__xludf.DUMMYFUNCTION("GoogleFinance(A412, ""eps"")"),9.25)</f>
        <v>9.25</v>
      </c>
      <c r="E412" s="6">
        <f ca="1">IFERROR(__xludf.DUMMYFUNCTION("GOOGLEFINANCE(A412,""pe"")"),37.56)</f>
        <v>37.56</v>
      </c>
      <c r="F412" s="6">
        <f ca="1">IFERROR(__xludf.DUMMYFUNCTION("GoogleFinance(A412, ""beta"")"),1.15)</f>
        <v>1.1499999999999999</v>
      </c>
      <c r="G412" s="13">
        <f ca="1">IFERROR(__xludf.DUMMYFUNCTION("GOOGLEFINANCE(A412,""shares"")"),254097000)</f>
        <v>254097000</v>
      </c>
      <c r="H412" s="10">
        <f ca="1">IFERROR(__xludf.DUMMYFUNCTION("GOOGLEFINANCE(A412,""marketcap"")"),88255403399)</f>
        <v>88255403399</v>
      </c>
      <c r="I412" s="13">
        <f ca="1">IFERROR(__xludf.DUMMYFUNCTION("GOOGLEFINANCE(A412,""volume"")"),995093)</f>
        <v>995093</v>
      </c>
      <c r="J412" s="13">
        <f ca="1">IFERROR(__xludf.DUMMYFUNCTION("GOOGLEFINANCE(A412,""volumeavg"")"),1269789)</f>
        <v>1269789</v>
      </c>
      <c r="K412" s="15">
        <f ca="1">IFERROR(__xludf.DUMMYFUNCTION("GOOGLEFINANCE(A412,""high52"")"),348.37)</f>
        <v>348.37</v>
      </c>
      <c r="L412" s="15">
        <f ca="1">IFERROR(__xludf.DUMMYFUNCTION("GOOGLEFINANCE(A412,""low52"")"),211.91)</f>
        <v>211.91</v>
      </c>
      <c r="M412" s="7">
        <f t="shared" ca="1" si="0"/>
        <v>45379.717931597224</v>
      </c>
    </row>
    <row r="413" spans="1:13">
      <c r="A413" s="4" t="s">
        <v>424</v>
      </c>
      <c r="B413" s="5" t="str">
        <f ca="1">IFERROR(__xludf.DUMMYFUNCTION("GoogleFinance(A413, ""name"")"),"J M Smucker Co")</f>
        <v>J M Smucker Co</v>
      </c>
      <c r="C413" s="15">
        <f ca="1">IFERROR(__xludf.DUMMYFUNCTION("GoogleFinance(A413, ""price"")"),125.87)</f>
        <v>125.87</v>
      </c>
      <c r="D413" s="6">
        <f ca="1">IFERROR(__xludf.DUMMYFUNCTION("GoogleFinance(A413, ""eps"")"),-0.85)</f>
        <v>-0.85</v>
      </c>
      <c r="E413" s="6" t="str">
        <f ca="1">IFERROR(__xludf.DUMMYFUNCTION("GOOGLEFINANCE(A413,""pe"")"),"#N/A")</f>
        <v>#N/A</v>
      </c>
      <c r="F413" s="6">
        <f ca="1">IFERROR(__xludf.DUMMYFUNCTION("GoogleFinance(A413, ""beta"")"),0.21)</f>
        <v>0.21</v>
      </c>
      <c r="G413" s="13">
        <f ca="1">IFERROR(__xludf.DUMMYFUNCTION("GOOGLEFINANCE(A413,""shares"")"),106176000)</f>
        <v>106176000</v>
      </c>
      <c r="H413" s="10">
        <f ca="1">IFERROR(__xludf.DUMMYFUNCTION("GOOGLEFINANCE(A413,""marketcap"")"),13364310476)</f>
        <v>13364310476</v>
      </c>
      <c r="I413" s="13">
        <f ca="1">IFERROR(__xludf.DUMMYFUNCTION("GOOGLEFINANCE(A413,""volume"")"),1267510)</f>
        <v>1267510</v>
      </c>
      <c r="J413" s="13">
        <f ca="1">IFERROR(__xludf.DUMMYFUNCTION("GOOGLEFINANCE(A413,""volumeavg"")"),1395259)</f>
        <v>1395259</v>
      </c>
      <c r="K413" s="15">
        <f ca="1">IFERROR(__xludf.DUMMYFUNCTION("GOOGLEFINANCE(A413,""high52"")"),159.92)</f>
        <v>159.91999999999999</v>
      </c>
      <c r="L413" s="15">
        <f ca="1">IFERROR(__xludf.DUMMYFUNCTION("GOOGLEFINANCE(A413,""low52"")"),107.33)</f>
        <v>107.33</v>
      </c>
      <c r="M413" s="7">
        <f t="shared" ca="1" si="0"/>
        <v>45379.717931597224</v>
      </c>
    </row>
    <row r="414" spans="1:13">
      <c r="A414" s="4" t="s">
        <v>425</v>
      </c>
      <c r="B414" s="5" t="str">
        <f ca="1">IFERROR(__xludf.DUMMYFUNCTION("GoogleFinance(A414, ""name"")"),"Schlumberger NV")</f>
        <v>Schlumberger NV</v>
      </c>
      <c r="C414" s="15">
        <f ca="1">IFERROR(__xludf.DUMMYFUNCTION("GoogleFinance(A414, ""price"")"),54.81)</f>
        <v>54.81</v>
      </c>
      <c r="D414" s="6">
        <f ca="1">IFERROR(__xludf.DUMMYFUNCTION("GoogleFinance(A414, ""eps"")"),2.91)</f>
        <v>2.91</v>
      </c>
      <c r="E414" s="6">
        <f ca="1">IFERROR(__xludf.DUMMYFUNCTION("GOOGLEFINANCE(A414,""pe"")"),18.82)</f>
        <v>18.82</v>
      </c>
      <c r="F414" s="6">
        <f ca="1">IFERROR(__xludf.DUMMYFUNCTION("GoogleFinance(A414, ""beta"")"),1.58)</f>
        <v>1.58</v>
      </c>
      <c r="G414" s="13">
        <f ca="1">IFERROR(__xludf.DUMMYFUNCTION("GOOGLEFINANCE(A414,""shares"")"),1432742000)</f>
        <v>1432742000</v>
      </c>
      <c r="H414" s="10">
        <f ca="1">IFERROR(__xludf.DUMMYFUNCTION("GOOGLEFINANCE(A414,""marketcap"")"),78528590987)</f>
        <v>78528590987</v>
      </c>
      <c r="I414" s="13">
        <f ca="1">IFERROR(__xludf.DUMMYFUNCTION("GOOGLEFINANCE(A414,""volume"")"),8032345)</f>
        <v>8032345</v>
      </c>
      <c r="J414" s="13">
        <f ca="1">IFERROR(__xludf.DUMMYFUNCTION("GOOGLEFINANCE(A414,""volumeavg"")"),8310359)</f>
        <v>8310359</v>
      </c>
      <c r="K414" s="15">
        <f ca="1">IFERROR(__xludf.DUMMYFUNCTION("GOOGLEFINANCE(A414,""high52"")"),62.12)</f>
        <v>62.12</v>
      </c>
      <c r="L414" s="15">
        <f ca="1">IFERROR(__xludf.DUMMYFUNCTION("GOOGLEFINANCE(A414,""low52"")"),42.73)</f>
        <v>42.73</v>
      </c>
      <c r="M414" s="7">
        <f t="shared" ca="1" si="0"/>
        <v>45379.717931597224</v>
      </c>
    </row>
    <row r="415" spans="1:13">
      <c r="A415" s="4" t="s">
        <v>426</v>
      </c>
      <c r="B415" s="5" t="str">
        <f ca="1">IFERROR(__xludf.DUMMYFUNCTION("GoogleFinance(A415, ""name"")"),"Snap-On Inc")</f>
        <v>Snap-On Inc</v>
      </c>
      <c r="C415" s="15">
        <f ca="1">IFERROR(__xludf.DUMMYFUNCTION("GoogleFinance(A415, ""price"")"),296.22)</f>
        <v>296.22000000000003</v>
      </c>
      <c r="D415" s="6">
        <f ca="1">IFERROR(__xludf.DUMMYFUNCTION("GoogleFinance(A415, ""eps"")"),18.76)</f>
        <v>18.760000000000002</v>
      </c>
      <c r="E415" s="6">
        <f ca="1">IFERROR(__xludf.DUMMYFUNCTION("GOOGLEFINANCE(A415,""pe"")"),15.79)</f>
        <v>15.79</v>
      </c>
      <c r="F415" s="6">
        <f ca="1">IFERROR(__xludf.DUMMYFUNCTION("GoogleFinance(A415, ""beta"")"),0.98)</f>
        <v>0.98</v>
      </c>
      <c r="G415" s="13">
        <f ca="1">IFERROR(__xludf.DUMMYFUNCTION("GOOGLEFINANCE(A415,""shares"")"),52714000)</f>
        <v>52714000</v>
      </c>
      <c r="H415" s="10">
        <f ca="1">IFERROR(__xludf.DUMMYFUNCTION("GOOGLEFINANCE(A415,""marketcap"")"),15651784988)</f>
        <v>15651784988</v>
      </c>
      <c r="I415" s="13">
        <f ca="1">IFERROR(__xludf.DUMMYFUNCTION("GOOGLEFINANCE(A415,""volume"")"),241599)</f>
        <v>241599</v>
      </c>
      <c r="J415" s="13">
        <f ca="1">IFERROR(__xludf.DUMMYFUNCTION("GOOGLEFINANCE(A415,""volumeavg"")"),383453)</f>
        <v>383453</v>
      </c>
      <c r="K415" s="15">
        <f ca="1">IFERROR(__xludf.DUMMYFUNCTION("GOOGLEFINANCE(A415,""high52"")"),298.49)</f>
        <v>298.49</v>
      </c>
      <c r="L415" s="15">
        <f ca="1">IFERROR(__xludf.DUMMYFUNCTION("GOOGLEFINANCE(A415,""low52"")"),226.68)</f>
        <v>226.68</v>
      </c>
      <c r="M415" s="7">
        <f t="shared" ca="1" si="0"/>
        <v>45379.717931597224</v>
      </c>
    </row>
    <row r="416" spans="1:13">
      <c r="A416" s="4" t="s">
        <v>427</v>
      </c>
      <c r="B416" s="5" t="str">
        <f ca="1">IFERROR(__xludf.DUMMYFUNCTION("GoogleFinance(A416, ""name"")"),"Synopsys Inc")</f>
        <v>Synopsys Inc</v>
      </c>
      <c r="C416" s="15">
        <f ca="1">IFERROR(__xludf.DUMMYFUNCTION("GoogleFinance(A416, ""price"")"),571.5)</f>
        <v>571.5</v>
      </c>
      <c r="D416" s="6">
        <f ca="1">IFERROR(__xludf.DUMMYFUNCTION("GoogleFinance(A416, ""eps"")"),9.07)</f>
        <v>9.07</v>
      </c>
      <c r="E416" s="6">
        <f ca="1">IFERROR(__xludf.DUMMYFUNCTION("GOOGLEFINANCE(A416,""pe"")"),63)</f>
        <v>63</v>
      </c>
      <c r="F416" s="6">
        <f ca="1">IFERROR(__xludf.DUMMYFUNCTION("GoogleFinance(A416, ""beta"")"),1.07)</f>
        <v>1.07</v>
      </c>
      <c r="G416" s="13">
        <f ca="1">IFERROR(__xludf.DUMMYFUNCTION("GOOGLEFINANCE(A416,""shares"")"),152544000)</f>
        <v>152544000</v>
      </c>
      <c r="H416" s="10">
        <f ca="1">IFERROR(__xludf.DUMMYFUNCTION("GOOGLEFINANCE(A416,""marketcap"")"),87178667400)</f>
        <v>87178667400</v>
      </c>
      <c r="I416" s="13">
        <f ca="1">IFERROR(__xludf.DUMMYFUNCTION("GOOGLEFINANCE(A416,""volume"")"),998990)</f>
        <v>998990</v>
      </c>
      <c r="J416" s="13">
        <f ca="1">IFERROR(__xludf.DUMMYFUNCTION("GOOGLEFINANCE(A416,""volumeavg"")"),1109213)</f>
        <v>1109213</v>
      </c>
      <c r="K416" s="15">
        <f ca="1">IFERROR(__xludf.DUMMYFUNCTION("GOOGLEFINANCE(A416,""high52"")"),629.38)</f>
        <v>629.38</v>
      </c>
      <c r="L416" s="15">
        <f ca="1">IFERROR(__xludf.DUMMYFUNCTION("GOOGLEFINANCE(A416,""low52"")"),360.37)</f>
        <v>360.37</v>
      </c>
      <c r="M416" s="7">
        <f t="shared" ca="1" si="0"/>
        <v>45379.717931597224</v>
      </c>
    </row>
    <row r="417" spans="1:13">
      <c r="A417" s="4" t="s">
        <v>428</v>
      </c>
      <c r="B417" s="5" t="str">
        <f ca="1">IFERROR(__xludf.DUMMYFUNCTION("GoogleFinance(A417, ""name"")"),"Southern Co")</f>
        <v>Southern Co</v>
      </c>
      <c r="C417" s="15">
        <f ca="1">IFERROR(__xludf.DUMMYFUNCTION("GoogleFinance(A417, ""price"")"),71.74)</f>
        <v>71.739999999999995</v>
      </c>
      <c r="D417" s="6">
        <f ca="1">IFERROR(__xludf.DUMMYFUNCTION("GoogleFinance(A417, ""eps"")"),3.62)</f>
        <v>3.62</v>
      </c>
      <c r="E417" s="6">
        <f ca="1">IFERROR(__xludf.DUMMYFUNCTION("GOOGLEFINANCE(A417,""pe"")"),19.81)</f>
        <v>19.809999999999999</v>
      </c>
      <c r="F417" s="6">
        <f ca="1">IFERROR(__xludf.DUMMYFUNCTION("GoogleFinance(A417, ""beta"")"),0.49)</f>
        <v>0.49</v>
      </c>
      <c r="G417" s="13">
        <f ca="1">IFERROR(__xludf.DUMMYFUNCTION("GOOGLEFINANCE(A417,""shares"")"),1091015000)</f>
        <v>1091015000</v>
      </c>
      <c r="H417" s="10">
        <f ca="1">IFERROR(__xludf.DUMMYFUNCTION("GOOGLEFINANCE(A417,""marketcap"")"),78269413769)</f>
        <v>78269413769</v>
      </c>
      <c r="I417" s="13">
        <f ca="1">IFERROR(__xludf.DUMMYFUNCTION("GOOGLEFINANCE(A417,""volume"")"),4731188)</f>
        <v>4731188</v>
      </c>
      <c r="J417" s="13">
        <f ca="1">IFERROR(__xludf.DUMMYFUNCTION("GOOGLEFINANCE(A417,""volumeavg"")"),4714427)</f>
        <v>4714427</v>
      </c>
      <c r="K417" s="15">
        <f ca="1">IFERROR(__xludf.DUMMYFUNCTION("GOOGLEFINANCE(A417,""high52"")"),75.8)</f>
        <v>75.8</v>
      </c>
      <c r="L417" s="15">
        <f ca="1">IFERROR(__xludf.DUMMYFUNCTION("GOOGLEFINANCE(A417,""low52"")"),61.56)</f>
        <v>61.56</v>
      </c>
      <c r="M417" s="7">
        <f t="shared" ca="1" si="0"/>
        <v>45379.717931597224</v>
      </c>
    </row>
    <row r="418" spans="1:13">
      <c r="A418" s="4" t="s">
        <v>429</v>
      </c>
      <c r="B418" s="5" t="str">
        <f ca="1">IFERROR(__xludf.DUMMYFUNCTION("GoogleFinance(A418, ""name"")"),"Simon Property Group Inc")</f>
        <v>Simon Property Group Inc</v>
      </c>
      <c r="C418" s="15">
        <f ca="1">IFERROR(__xludf.DUMMYFUNCTION("GoogleFinance(A418, ""price"")"),156.49)</f>
        <v>156.49</v>
      </c>
      <c r="D418" s="6">
        <f ca="1">IFERROR(__xludf.DUMMYFUNCTION("GoogleFinance(A418, ""eps"")"),6.98)</f>
        <v>6.98</v>
      </c>
      <c r="E418" s="6">
        <f ca="1">IFERROR(__xludf.DUMMYFUNCTION("GOOGLEFINANCE(A418,""pe"")"),22.43)</f>
        <v>22.43</v>
      </c>
      <c r="F418" s="6">
        <f ca="1">IFERROR(__xludf.DUMMYFUNCTION("GoogleFinance(A418, ""beta"")"),1.6)</f>
        <v>1.6</v>
      </c>
      <c r="G418" s="13">
        <f ca="1">IFERROR(__xludf.DUMMYFUNCTION("GOOGLEFINANCE(A418,""shares"")"),325891000)</f>
        <v>325891000</v>
      </c>
      <c r="H418" s="10">
        <f ca="1">IFERROR(__xludf.DUMMYFUNCTION("GOOGLEFINANCE(A418,""marketcap"")"),50999936300)</f>
        <v>50999936300</v>
      </c>
      <c r="I418" s="13">
        <f ca="1">IFERROR(__xludf.DUMMYFUNCTION("GOOGLEFINANCE(A418,""volume"")"),1904806)</f>
        <v>1904806</v>
      </c>
      <c r="J418" s="13">
        <f ca="1">IFERROR(__xludf.DUMMYFUNCTION("GOOGLEFINANCE(A418,""volumeavg"")"),1545493)</f>
        <v>1545493</v>
      </c>
      <c r="K418" s="15">
        <f ca="1">IFERROR(__xludf.DUMMYFUNCTION("GOOGLEFINANCE(A418,""high52"")"),157.82)</f>
        <v>157.82</v>
      </c>
      <c r="L418" s="15">
        <f ca="1">IFERROR(__xludf.DUMMYFUNCTION("GOOGLEFINANCE(A418,""low52"")"),100.17)</f>
        <v>100.17</v>
      </c>
      <c r="M418" s="7">
        <f t="shared" ca="1" si="0"/>
        <v>45379.717931597224</v>
      </c>
    </row>
    <row r="419" spans="1:13">
      <c r="A419" s="4" t="s">
        <v>430</v>
      </c>
      <c r="B419" s="5" t="str">
        <f ca="1">IFERROR(__xludf.DUMMYFUNCTION("GoogleFinance(A419, ""name"")"),"S&amp;P Global Inc")</f>
        <v>S&amp;P Global Inc</v>
      </c>
      <c r="C419" s="15">
        <f ca="1">IFERROR(__xludf.DUMMYFUNCTION("GoogleFinance(A419, ""price"")"),425.45)</f>
        <v>425.45</v>
      </c>
      <c r="D419" s="6">
        <f ca="1">IFERROR(__xludf.DUMMYFUNCTION("GoogleFinance(A419, ""eps"")"),8.23)</f>
        <v>8.23</v>
      </c>
      <c r="E419" s="6">
        <f ca="1">IFERROR(__xludf.DUMMYFUNCTION("GOOGLEFINANCE(A419,""pe"")"),51.67)</f>
        <v>51.67</v>
      </c>
      <c r="F419" s="6">
        <f ca="1">IFERROR(__xludf.DUMMYFUNCTION("GoogleFinance(A419, ""beta"")"),1.15)</f>
        <v>1.1499999999999999</v>
      </c>
      <c r="G419" s="13">
        <f ca="1">IFERROR(__xludf.DUMMYFUNCTION("GOOGLEFINANCE(A419,""shares"")"),314100000)</f>
        <v>314100000</v>
      </c>
      <c r="H419" s="10">
        <f ca="1">IFERROR(__xludf.DUMMYFUNCTION("GOOGLEFINANCE(A419,""marketcap"")"),135406900000)</f>
        <v>135406900000</v>
      </c>
      <c r="I419" s="13">
        <f ca="1">IFERROR(__xludf.DUMMYFUNCTION("GOOGLEFINANCE(A419,""volume"")"),1881566)</f>
        <v>1881566</v>
      </c>
      <c r="J419" s="13">
        <f ca="1">IFERROR(__xludf.DUMMYFUNCTION("GOOGLEFINANCE(A419,""volumeavg"")"),1411825)</f>
        <v>1411825</v>
      </c>
      <c r="K419" s="15">
        <f ca="1">IFERROR(__xludf.DUMMYFUNCTION("GOOGLEFINANCE(A419,""high52"")"),461.16)</f>
        <v>461.16</v>
      </c>
      <c r="L419" s="15">
        <f ca="1">IFERROR(__xludf.DUMMYFUNCTION("GOOGLEFINANCE(A419,""low52"")"),329.46)</f>
        <v>329.46</v>
      </c>
      <c r="M419" s="7">
        <f t="shared" ca="1" si="0"/>
        <v>45379.717931597224</v>
      </c>
    </row>
    <row r="420" spans="1:13">
      <c r="A420" s="4" t="s">
        <v>431</v>
      </c>
      <c r="B420" s="5" t="str">
        <f ca="1">IFERROR(__xludf.DUMMYFUNCTION("GoogleFinance(A420, ""name"")"),"Sempra")</f>
        <v>Sempra</v>
      </c>
      <c r="C420" s="15">
        <f ca="1">IFERROR(__xludf.DUMMYFUNCTION("GoogleFinance(A420, ""price"")"),71.83)</f>
        <v>71.83</v>
      </c>
      <c r="D420" s="6">
        <f ca="1">IFERROR(__xludf.DUMMYFUNCTION("GoogleFinance(A420, ""eps"")"),4.79)</f>
        <v>4.79</v>
      </c>
      <c r="E420" s="6">
        <f ca="1">IFERROR(__xludf.DUMMYFUNCTION("GOOGLEFINANCE(A420,""pe"")"),15)</f>
        <v>15</v>
      </c>
      <c r="F420" s="6">
        <f ca="1">IFERROR(__xludf.DUMMYFUNCTION("GoogleFinance(A420, ""beta"")"),0.7)</f>
        <v>0.7</v>
      </c>
      <c r="G420" s="13">
        <f ca="1">IFERROR(__xludf.DUMMYFUNCTION("GOOGLEFINANCE(A420,""shares"")"),632150000)</f>
        <v>632150000</v>
      </c>
      <c r="H420" s="10">
        <f ca="1">IFERROR(__xludf.DUMMYFUNCTION("GOOGLEFINANCE(A420,""marketcap"")"),45435047672)</f>
        <v>45435047672</v>
      </c>
      <c r="I420" s="13">
        <f ca="1">IFERROR(__xludf.DUMMYFUNCTION("GOOGLEFINANCE(A420,""volume"")"),2468800)</f>
        <v>2468800</v>
      </c>
      <c r="J420" s="13">
        <f ca="1">IFERROR(__xludf.DUMMYFUNCTION("GOOGLEFINANCE(A420,""volumeavg"")"),3110677)</f>
        <v>3110677</v>
      </c>
      <c r="K420" s="15">
        <f ca="1">IFERROR(__xludf.DUMMYFUNCTION("GOOGLEFINANCE(A420,""high52"")"),79.52)</f>
        <v>79.52</v>
      </c>
      <c r="L420" s="15">
        <f ca="1">IFERROR(__xludf.DUMMYFUNCTION("GOOGLEFINANCE(A420,""low52"")"),63.75)</f>
        <v>63.75</v>
      </c>
      <c r="M420" s="7">
        <f t="shared" ca="1" si="0"/>
        <v>45379.717931597224</v>
      </c>
    </row>
    <row r="421" spans="1:13">
      <c r="A421" s="4" t="s">
        <v>432</v>
      </c>
      <c r="B421" s="5" t="str">
        <f ca="1">IFERROR(__xludf.DUMMYFUNCTION("GoogleFinance(A421, ""name"")"),"Steris PLC")</f>
        <v>Steris PLC</v>
      </c>
      <c r="C421" s="15">
        <f ca="1">IFERROR(__xludf.DUMMYFUNCTION("GoogleFinance(A421, ""price"")"),224.82)</f>
        <v>224.82</v>
      </c>
      <c r="D421" s="6">
        <f ca="1">IFERROR(__xludf.DUMMYFUNCTION("GoogleFinance(A421, ""eps"")"),5.67)</f>
        <v>5.67</v>
      </c>
      <c r="E421" s="6">
        <f ca="1">IFERROR(__xludf.DUMMYFUNCTION("GOOGLEFINANCE(A421,""pe"")"),39.64)</f>
        <v>39.64</v>
      </c>
      <c r="F421" s="6">
        <f ca="1">IFERROR(__xludf.DUMMYFUNCTION("GoogleFinance(A421, ""beta"")"),0.8)</f>
        <v>0.8</v>
      </c>
      <c r="G421" s="13">
        <f ca="1">IFERROR(__xludf.DUMMYFUNCTION("GOOGLEFINANCE(A421,""shares"")"),98814000)</f>
        <v>98814000</v>
      </c>
      <c r="H421" s="10">
        <f ca="1">IFERROR(__xludf.DUMMYFUNCTION("GOOGLEFINANCE(A421,""marketcap"")"),22215368700)</f>
        <v>22215368700</v>
      </c>
      <c r="I421" s="13">
        <f ca="1">IFERROR(__xludf.DUMMYFUNCTION("GOOGLEFINANCE(A421,""volume"")"),497538)</f>
        <v>497538</v>
      </c>
      <c r="J421" s="13">
        <f ca="1">IFERROR(__xludf.DUMMYFUNCTION("GOOGLEFINANCE(A421,""volumeavg"")"),400493)</f>
        <v>400493</v>
      </c>
      <c r="K421" s="15">
        <f ca="1">IFERROR(__xludf.DUMMYFUNCTION("GOOGLEFINANCE(A421,""high52"")"),254)</f>
        <v>254</v>
      </c>
      <c r="L421" s="15">
        <f ca="1">IFERROR(__xludf.DUMMYFUNCTION("GOOGLEFINANCE(A421,""low52"")"),180.54)</f>
        <v>180.54</v>
      </c>
      <c r="M421" s="7">
        <f t="shared" ca="1" si="0"/>
        <v>45379.717931597224</v>
      </c>
    </row>
    <row r="422" spans="1:13">
      <c r="A422" s="4" t="s">
        <v>433</v>
      </c>
      <c r="B422" s="5" t="str">
        <f ca="1">IFERROR(__xludf.DUMMYFUNCTION("GoogleFinance(A422, ""name"")"),"Steel Dynamics Inc")</f>
        <v>Steel Dynamics Inc</v>
      </c>
      <c r="C422" s="15">
        <f ca="1">IFERROR(__xludf.DUMMYFUNCTION("GoogleFinance(A422, ""price"")"),148.23)</f>
        <v>148.22999999999999</v>
      </c>
      <c r="D422" s="6">
        <f ca="1">IFERROR(__xludf.DUMMYFUNCTION("GoogleFinance(A422, ""eps"")"),14.64)</f>
        <v>14.64</v>
      </c>
      <c r="E422" s="6">
        <f ca="1">IFERROR(__xludf.DUMMYFUNCTION("GOOGLEFINANCE(A422,""pe"")"),10.13)</f>
        <v>10.130000000000001</v>
      </c>
      <c r="F422" s="6">
        <f ca="1">IFERROR(__xludf.DUMMYFUNCTION("GoogleFinance(A422, ""beta"")"),1.41)</f>
        <v>1.41</v>
      </c>
      <c r="G422" s="13">
        <f ca="1">IFERROR(__xludf.DUMMYFUNCTION("GOOGLEFINANCE(A422,""shares"")"),158155000)</f>
        <v>158155000</v>
      </c>
      <c r="H422" s="10">
        <f ca="1">IFERROR(__xludf.DUMMYFUNCTION("GOOGLEFINANCE(A422,""marketcap"")"),23443240859)</f>
        <v>23443240859</v>
      </c>
      <c r="I422" s="13">
        <f ca="1">IFERROR(__xludf.DUMMYFUNCTION("GOOGLEFINANCE(A422,""volume"")"),956754)</f>
        <v>956754</v>
      </c>
      <c r="J422" s="13">
        <f ca="1">IFERROR(__xludf.DUMMYFUNCTION("GOOGLEFINANCE(A422,""volumeavg"")"),1158814)</f>
        <v>1158814</v>
      </c>
      <c r="K422" s="15">
        <f ca="1">IFERROR(__xludf.DUMMYFUNCTION("GOOGLEFINANCE(A422,""high52"")"),148.74)</f>
        <v>148.74</v>
      </c>
      <c r="L422" s="15">
        <f ca="1">IFERROR(__xludf.DUMMYFUNCTION("GOOGLEFINANCE(A422,""low52"")"),90.55)</f>
        <v>90.55</v>
      </c>
      <c r="M422" s="7">
        <f t="shared" ca="1" si="0"/>
        <v>45379.717931597224</v>
      </c>
    </row>
    <row r="423" spans="1:13">
      <c r="A423" s="4" t="s">
        <v>434</v>
      </c>
      <c r="B423" s="5" t="str">
        <f ca="1">IFERROR(__xludf.DUMMYFUNCTION("GoogleFinance(A423, ""name"")"),"State Street Corp")</f>
        <v>State Street Corp</v>
      </c>
      <c r="C423" s="15">
        <f ca="1">IFERROR(__xludf.DUMMYFUNCTION("GoogleFinance(A423, ""price"")"),77.32)</f>
        <v>77.319999999999993</v>
      </c>
      <c r="D423" s="6">
        <f ca="1">IFERROR(__xludf.DUMMYFUNCTION("GoogleFinance(A423, ""eps"")"),5.58)</f>
        <v>5.58</v>
      </c>
      <c r="E423" s="6">
        <f ca="1">IFERROR(__xludf.DUMMYFUNCTION("GOOGLEFINANCE(A423,""pe"")"),13.87)</f>
        <v>13.87</v>
      </c>
      <c r="F423" s="6">
        <f ca="1">IFERROR(__xludf.DUMMYFUNCTION("GoogleFinance(A423, ""beta"")"),1.52)</f>
        <v>1.52</v>
      </c>
      <c r="G423" s="13">
        <f ca="1">IFERROR(__xludf.DUMMYFUNCTION("GOOGLEFINANCE(A423,""shares"")"),301944000)</f>
        <v>301944000</v>
      </c>
      <c r="H423" s="10">
        <f ca="1">IFERROR(__xludf.DUMMYFUNCTION("GOOGLEFINANCE(A423,""marketcap"")"),23346271327)</f>
        <v>23346271327</v>
      </c>
      <c r="I423" s="13">
        <f ca="1">IFERROR(__xludf.DUMMYFUNCTION("GOOGLEFINANCE(A423,""volume"")"),2202822)</f>
        <v>2202822</v>
      </c>
      <c r="J423" s="13">
        <f ca="1">IFERROR(__xludf.DUMMYFUNCTION("GOOGLEFINANCE(A423,""volumeavg"")"),2241587)</f>
        <v>2241587</v>
      </c>
      <c r="K423" s="15">
        <f ca="1">IFERROR(__xludf.DUMMYFUNCTION("GOOGLEFINANCE(A423,""high52"")"),81.37)</f>
        <v>81.37</v>
      </c>
      <c r="L423" s="15">
        <f ca="1">IFERROR(__xludf.DUMMYFUNCTION("GOOGLEFINANCE(A423,""low52"")"),62.78)</f>
        <v>62.78</v>
      </c>
      <c r="M423" s="7">
        <f t="shared" ca="1" si="0"/>
        <v>45379.717931597224</v>
      </c>
    </row>
    <row r="424" spans="1:13">
      <c r="A424" s="4" t="s">
        <v>435</v>
      </c>
      <c r="B424" s="5" t="str">
        <f ca="1">IFERROR(__xludf.DUMMYFUNCTION("GoogleFinance(A424, ""name"")"),"Seagate Technology Holdings PLC")</f>
        <v>Seagate Technology Holdings PLC</v>
      </c>
      <c r="C424" s="15">
        <f ca="1">IFERROR(__xludf.DUMMYFUNCTION("GoogleFinance(A424, ""price"")"),93.05)</f>
        <v>93.05</v>
      </c>
      <c r="D424" s="6">
        <f ca="1">IFERROR(__xludf.DUMMYFUNCTION("GoogleFinance(A424, ""eps"")"),-3.51)</f>
        <v>-3.51</v>
      </c>
      <c r="E424" s="6" t="str">
        <f ca="1">IFERROR(__xludf.DUMMYFUNCTION("GOOGLEFINANCE(A424,""pe"")"),"#N/A")</f>
        <v>#N/A</v>
      </c>
      <c r="F424" s="6">
        <f ca="1">IFERROR(__xludf.DUMMYFUNCTION("GoogleFinance(A424, ""beta"")"),1.04)</f>
        <v>1.04</v>
      </c>
      <c r="G424" s="13">
        <f ca="1">IFERROR(__xludf.DUMMYFUNCTION("GOOGLEFINANCE(A424,""shares"")"),209511000)</f>
        <v>209511000</v>
      </c>
      <c r="H424" s="10">
        <f ca="1">IFERROR(__xludf.DUMMYFUNCTION("GOOGLEFINANCE(A424,""marketcap"")"),19494971274)</f>
        <v>19494971274</v>
      </c>
      <c r="I424" s="13">
        <f ca="1">IFERROR(__xludf.DUMMYFUNCTION("GOOGLEFINANCE(A424,""volume"")"),3296312)</f>
        <v>3296312</v>
      </c>
      <c r="J424" s="13">
        <f ca="1">IFERROR(__xludf.DUMMYFUNCTION("GOOGLEFINANCE(A424,""volumeavg"")"),3004684)</f>
        <v>3004684</v>
      </c>
      <c r="K424" s="15">
        <f ca="1">IFERROR(__xludf.DUMMYFUNCTION("GOOGLEFINANCE(A424,""high52"")"),101.26)</f>
        <v>101.26</v>
      </c>
      <c r="L424" s="15">
        <f ca="1">IFERROR(__xludf.DUMMYFUNCTION("GOOGLEFINANCE(A424,""low52"")"),54.32)</f>
        <v>54.32</v>
      </c>
      <c r="M424" s="7">
        <f t="shared" ca="1" si="0"/>
        <v>45379.717931597224</v>
      </c>
    </row>
    <row r="425" spans="1:13">
      <c r="A425" s="4" t="s">
        <v>436</v>
      </c>
      <c r="B425" s="5" t="str">
        <f ca="1">IFERROR(__xludf.DUMMYFUNCTION("GoogleFinance(A425, ""name"")"),"Constellation Brands, Inc.")</f>
        <v>Constellation Brands, Inc.</v>
      </c>
      <c r="C425" s="15">
        <f ca="1">IFERROR(__xludf.DUMMYFUNCTION("GoogleFinance(A425, ""price"")"),271.76)</f>
        <v>271.76</v>
      </c>
      <c r="D425" s="6">
        <f ca="1">IFERROR(__xludf.DUMMYFUNCTION("GoogleFinance(A425, ""eps"")"),8.33)</f>
        <v>8.33</v>
      </c>
      <c r="E425" s="6">
        <f ca="1">IFERROR(__xludf.DUMMYFUNCTION("GOOGLEFINANCE(A425,""pe"")"),32.64)</f>
        <v>32.64</v>
      </c>
      <c r="F425" s="6">
        <f ca="1">IFERROR(__xludf.DUMMYFUNCTION("GoogleFinance(A425, ""beta"")"),0.96)</f>
        <v>0.96</v>
      </c>
      <c r="G425" s="13">
        <f ca="1">IFERROR(__xludf.DUMMYFUNCTION("GOOGLEFINANCE(A425,""shares"")"),182796000)</f>
        <v>182796000</v>
      </c>
      <c r="H425" s="10">
        <f ca="1">IFERROR(__xludf.DUMMYFUNCTION("GOOGLEFINANCE(A425,""marketcap"")"),49676724273)</f>
        <v>49676724273</v>
      </c>
      <c r="I425" s="13">
        <f ca="1">IFERROR(__xludf.DUMMYFUNCTION("GOOGLEFINANCE(A425,""volume"")"),1144011)</f>
        <v>1144011</v>
      </c>
      <c r="J425" s="13">
        <f ca="1">IFERROR(__xludf.DUMMYFUNCTION("GOOGLEFINANCE(A425,""volumeavg"")"),1121169)</f>
        <v>1121169</v>
      </c>
      <c r="K425" s="15">
        <f ca="1">IFERROR(__xludf.DUMMYFUNCTION("GOOGLEFINANCE(A425,""high52"")"),273.65)</f>
        <v>273.64999999999998</v>
      </c>
      <c r="L425" s="15">
        <f ca="1">IFERROR(__xludf.DUMMYFUNCTION("GOOGLEFINANCE(A425,""low52"")"),217.05)</f>
        <v>217.05</v>
      </c>
      <c r="M425" s="7">
        <f t="shared" ca="1" si="0"/>
        <v>45379.717931597224</v>
      </c>
    </row>
    <row r="426" spans="1:13">
      <c r="A426" s="4" t="s">
        <v>437</v>
      </c>
      <c r="B426" s="5" t="str">
        <f ca="1">IFERROR(__xludf.DUMMYFUNCTION("GoogleFinance(A426, ""name"")"),"Stanley Black &amp; Decker Inc")</f>
        <v>Stanley Black &amp; Decker Inc</v>
      </c>
      <c r="C426" s="15">
        <f ca="1">IFERROR(__xludf.DUMMYFUNCTION("GoogleFinance(A426, ""price"")"),97.93)</f>
        <v>97.93</v>
      </c>
      <c r="D426" s="6">
        <f ca="1">IFERROR(__xludf.DUMMYFUNCTION("GoogleFinance(A426, ""eps"")"),-1.88)</f>
        <v>-1.88</v>
      </c>
      <c r="E426" s="6" t="str">
        <f ca="1">IFERROR(__xludf.DUMMYFUNCTION("GOOGLEFINANCE(A426,""pe"")"),"#N/A")</f>
        <v>#N/A</v>
      </c>
      <c r="F426" s="6">
        <f ca="1">IFERROR(__xludf.DUMMYFUNCTION("GoogleFinance(A426, ""beta"")"),1.33)</f>
        <v>1.33</v>
      </c>
      <c r="G426" s="13">
        <f ca="1">IFERROR(__xludf.DUMMYFUNCTION("GOOGLEFINANCE(A426,""shares"")"),153804000)</f>
        <v>153804000</v>
      </c>
      <c r="H426" s="10">
        <f ca="1">IFERROR(__xludf.DUMMYFUNCTION("GOOGLEFINANCE(A426,""marketcap"")"),15062006180)</f>
        <v>15062006180</v>
      </c>
      <c r="I426" s="13">
        <f ca="1">IFERROR(__xludf.DUMMYFUNCTION("GOOGLEFINANCE(A426,""volume"")"),1492914)</f>
        <v>1492914</v>
      </c>
      <c r="J426" s="13">
        <f ca="1">IFERROR(__xludf.DUMMYFUNCTION("GOOGLEFINANCE(A426,""volumeavg"")"),1217351)</f>
        <v>1217351</v>
      </c>
      <c r="K426" s="15">
        <f ca="1">IFERROR(__xludf.DUMMYFUNCTION("GOOGLEFINANCE(A426,""high52"")"),104.21)</f>
        <v>104.21</v>
      </c>
      <c r="L426" s="15">
        <f ca="1">IFERROR(__xludf.DUMMYFUNCTION("GOOGLEFINANCE(A426,""low52"")"),73.27)</f>
        <v>73.27</v>
      </c>
      <c r="M426" s="7">
        <f t="shared" ca="1" si="0"/>
        <v>45379.717931597224</v>
      </c>
    </row>
    <row r="427" spans="1:13">
      <c r="A427" s="4" t="s">
        <v>438</v>
      </c>
      <c r="B427" s="5" t="str">
        <f ca="1">IFERROR(__xludf.DUMMYFUNCTION("GoogleFinance(A427, ""name"")"),"Skyworks Solutions Inc")</f>
        <v>Skyworks Solutions Inc</v>
      </c>
      <c r="C427" s="15">
        <f ca="1">IFERROR(__xludf.DUMMYFUNCTION("GoogleFinance(A427, ""price"")"),108.32)</f>
        <v>108.32</v>
      </c>
      <c r="D427" s="6">
        <f ca="1">IFERROR(__xludf.DUMMYFUNCTION("GoogleFinance(A427, ""eps"")"),5.63)</f>
        <v>5.63</v>
      </c>
      <c r="E427" s="6">
        <f ca="1">IFERROR(__xludf.DUMMYFUNCTION("GOOGLEFINANCE(A427,""pe"")"),19.22)</f>
        <v>19.22</v>
      </c>
      <c r="F427" s="6">
        <f ca="1">IFERROR(__xludf.DUMMYFUNCTION("GoogleFinance(A427, ""beta"")"),1.37)</f>
        <v>1.37</v>
      </c>
      <c r="G427" s="13">
        <f ca="1">IFERROR(__xludf.DUMMYFUNCTION("GOOGLEFINANCE(A427,""shares"")"),160226000)</f>
        <v>160226000</v>
      </c>
      <c r="H427" s="10">
        <f ca="1">IFERROR(__xludf.DUMMYFUNCTION("GOOGLEFINANCE(A427,""marketcap"")"),17355658607)</f>
        <v>17355658607</v>
      </c>
      <c r="I427" s="13">
        <f ca="1">IFERROR(__xludf.DUMMYFUNCTION("GOOGLEFINANCE(A427,""volume"")"),1718183)</f>
        <v>1718183</v>
      </c>
      <c r="J427" s="13">
        <f ca="1">IFERROR(__xludf.DUMMYFUNCTION("GOOGLEFINANCE(A427,""volumeavg"")"),2644500)</f>
        <v>2644500</v>
      </c>
      <c r="K427" s="15">
        <f ca="1">IFERROR(__xludf.DUMMYFUNCTION("GOOGLEFINANCE(A427,""high52"")"),118.42)</f>
        <v>118.42</v>
      </c>
      <c r="L427" s="15">
        <f ca="1">IFERROR(__xludf.DUMMYFUNCTION("GOOGLEFINANCE(A427,""low52"")"),85.06)</f>
        <v>85.06</v>
      </c>
      <c r="M427" s="7">
        <f t="shared" ca="1" si="0"/>
        <v>45379.717931597224</v>
      </c>
    </row>
    <row r="428" spans="1:13">
      <c r="A428" s="4" t="s">
        <v>439</v>
      </c>
      <c r="B428" s="5" t="str">
        <f ca="1">IFERROR(__xludf.DUMMYFUNCTION("GoogleFinance(A428, ""name"")"),"Synchrony Financial")</f>
        <v>Synchrony Financial</v>
      </c>
      <c r="C428" s="15">
        <f ca="1">IFERROR(__xludf.DUMMYFUNCTION("GoogleFinance(A428, ""price"")"),43.12)</f>
        <v>43.12</v>
      </c>
      <c r="D428" s="6">
        <f ca="1">IFERROR(__xludf.DUMMYFUNCTION("GoogleFinance(A428, ""eps"")"),5.19)</f>
        <v>5.19</v>
      </c>
      <c r="E428" s="6">
        <f ca="1">IFERROR(__xludf.DUMMYFUNCTION("GOOGLEFINANCE(A428,""pe"")"),8.32)</f>
        <v>8.32</v>
      </c>
      <c r="F428" s="6">
        <f ca="1">IFERROR(__xludf.DUMMYFUNCTION("GoogleFinance(A428, ""beta"")"),1.61)</f>
        <v>1.61</v>
      </c>
      <c r="G428" s="13">
        <f ca="1">IFERROR(__xludf.DUMMYFUNCTION("GOOGLEFINANCE(A428,""shares"")"),406844000)</f>
        <v>406844000</v>
      </c>
      <c r="H428" s="10">
        <f ca="1">IFERROR(__xludf.DUMMYFUNCTION("GOOGLEFINANCE(A428,""marketcap"")"),17543095597)</f>
        <v>17543095597</v>
      </c>
      <c r="I428" s="13">
        <f ca="1">IFERROR(__xludf.DUMMYFUNCTION("GOOGLEFINANCE(A428,""volume"")"),4208241)</f>
        <v>4208241</v>
      </c>
      <c r="J428" s="13">
        <f ca="1">IFERROR(__xludf.DUMMYFUNCTION("GOOGLEFINANCE(A428,""volumeavg"")"),4442829)</f>
        <v>4442829</v>
      </c>
      <c r="K428" s="15">
        <f ca="1">IFERROR(__xludf.DUMMYFUNCTION("GOOGLEFINANCE(A428,""high52"")"),43.84)</f>
        <v>43.84</v>
      </c>
      <c r="L428" s="15">
        <f ca="1">IFERROR(__xludf.DUMMYFUNCTION("GOOGLEFINANCE(A428,""low52"")"),26.59)</f>
        <v>26.59</v>
      </c>
      <c r="M428" s="7">
        <f t="shared" ca="1" si="0"/>
        <v>45379.717931597224</v>
      </c>
    </row>
    <row r="429" spans="1:13">
      <c r="A429" s="4" t="s">
        <v>440</v>
      </c>
      <c r="B429" s="5" t="str">
        <f ca="1">IFERROR(__xludf.DUMMYFUNCTION("GoogleFinance(A429, ""name"")"),"Stryker Corp")</f>
        <v>Stryker Corp</v>
      </c>
      <c r="C429" s="15">
        <f ca="1">IFERROR(__xludf.DUMMYFUNCTION("GoogleFinance(A429, ""price"")"),357.87)</f>
        <v>357.87</v>
      </c>
      <c r="D429" s="6">
        <f ca="1">IFERROR(__xludf.DUMMYFUNCTION("GoogleFinance(A429, ""eps"")"),8.25)</f>
        <v>8.25</v>
      </c>
      <c r="E429" s="6">
        <f ca="1">IFERROR(__xludf.DUMMYFUNCTION("GOOGLEFINANCE(A429,""pe"")"),43.39)</f>
        <v>43.39</v>
      </c>
      <c r="F429" s="6">
        <f ca="1">IFERROR(__xludf.DUMMYFUNCTION("GoogleFinance(A429, ""beta"")"),0.89)</f>
        <v>0.89</v>
      </c>
      <c r="G429" s="13">
        <f ca="1">IFERROR(__xludf.DUMMYFUNCTION("GOOGLEFINANCE(A429,""shares"")"),380264000)</f>
        <v>380264000</v>
      </c>
      <c r="H429" s="10">
        <f ca="1">IFERROR(__xludf.DUMMYFUNCTION("GOOGLEFINANCE(A429,""marketcap"")"),136085075823)</f>
        <v>136085075823</v>
      </c>
      <c r="I429" s="13">
        <f ca="1">IFERROR(__xludf.DUMMYFUNCTION("GOOGLEFINANCE(A429,""volume"")"),1074753)</f>
        <v>1074753</v>
      </c>
      <c r="J429" s="13">
        <f ca="1">IFERROR(__xludf.DUMMYFUNCTION("GOOGLEFINANCE(A429,""volumeavg"")"),1171819)</f>
        <v>1171819</v>
      </c>
      <c r="K429" s="15">
        <f ca="1">IFERROR(__xludf.DUMMYFUNCTION("GOOGLEFINANCE(A429,""high52"")"),361.41)</f>
        <v>361.41</v>
      </c>
      <c r="L429" s="15">
        <f ca="1">IFERROR(__xludf.DUMMYFUNCTION("GOOGLEFINANCE(A429,""low52"")"),249.98)</f>
        <v>249.98</v>
      </c>
      <c r="M429" s="7">
        <f t="shared" ca="1" si="0"/>
        <v>45379.717931597224</v>
      </c>
    </row>
    <row r="430" spans="1:13">
      <c r="A430" s="4" t="s">
        <v>441</v>
      </c>
      <c r="B430" s="5" t="str">
        <f ca="1">IFERROR(__xludf.DUMMYFUNCTION("GoogleFinance(A430, ""name"")"),"Sysco Corp")</f>
        <v>Sysco Corp</v>
      </c>
      <c r="C430" s="15">
        <f ca="1">IFERROR(__xludf.DUMMYFUNCTION("GoogleFinance(A430, ""price"")"),81.18)</f>
        <v>81.180000000000007</v>
      </c>
      <c r="D430" s="6">
        <f ca="1">IFERROR(__xludf.DUMMYFUNCTION("GoogleFinance(A430, ""eps"")"),4.1)</f>
        <v>4.0999999999999996</v>
      </c>
      <c r="E430" s="6">
        <f ca="1">IFERROR(__xludf.DUMMYFUNCTION("GOOGLEFINANCE(A430,""pe"")"),19.8)</f>
        <v>19.8</v>
      </c>
      <c r="F430" s="6">
        <f ca="1">IFERROR(__xludf.DUMMYFUNCTION("GoogleFinance(A430, ""beta"")"),1.15)</f>
        <v>1.1499999999999999</v>
      </c>
      <c r="G430" s="13">
        <f ca="1">IFERROR(__xludf.DUMMYFUNCTION("GOOGLEFINANCE(A430,""shares"")"),497830000)</f>
        <v>497830000</v>
      </c>
      <c r="H430" s="10">
        <f ca="1">IFERROR(__xludf.DUMMYFUNCTION("GOOGLEFINANCE(A430,""marketcap"")"),40413815197)</f>
        <v>40413815197</v>
      </c>
      <c r="I430" s="13">
        <f ca="1">IFERROR(__xludf.DUMMYFUNCTION("GOOGLEFINANCE(A430,""volume"")"),3203422)</f>
        <v>3203422</v>
      </c>
      <c r="J430" s="13">
        <f ca="1">IFERROR(__xludf.DUMMYFUNCTION("GOOGLEFINANCE(A430,""volumeavg"")"),2631458)</f>
        <v>2631458</v>
      </c>
      <c r="K430" s="15">
        <f ca="1">IFERROR(__xludf.DUMMYFUNCTION("GOOGLEFINANCE(A430,""high52"")"),82.89)</f>
        <v>82.89</v>
      </c>
      <c r="L430" s="15">
        <f ca="1">IFERROR(__xludf.DUMMYFUNCTION("GOOGLEFINANCE(A430,""low52"")"),62.24)</f>
        <v>62.24</v>
      </c>
      <c r="M430" s="7">
        <f t="shared" ca="1" si="0"/>
        <v>45379.717931597224</v>
      </c>
    </row>
    <row r="431" spans="1:13">
      <c r="A431" s="4" t="s">
        <v>442</v>
      </c>
      <c r="B431" s="5" t="str">
        <f ca="1">IFERROR(__xludf.DUMMYFUNCTION("GoogleFinance(A431, ""name"")"),"AT&amp;T Inc")</f>
        <v>AT&amp;T Inc</v>
      </c>
      <c r="C431" s="15">
        <f ca="1">IFERROR(__xludf.DUMMYFUNCTION("GoogleFinance(A431, ""price"")"),17.6)</f>
        <v>17.600000000000001</v>
      </c>
      <c r="D431" s="6">
        <f ca="1">IFERROR(__xludf.DUMMYFUNCTION("GoogleFinance(A431, ""eps"")"),1.97)</f>
        <v>1.97</v>
      </c>
      <c r="E431" s="6">
        <f ca="1">IFERROR(__xludf.DUMMYFUNCTION("GOOGLEFINANCE(A431,""pe"")"),8.95)</f>
        <v>8.9499999999999993</v>
      </c>
      <c r="F431" s="6">
        <f ca="1">IFERROR(__xludf.DUMMYFUNCTION("GoogleFinance(A431, ""beta"")"),0.58)</f>
        <v>0.57999999999999996</v>
      </c>
      <c r="G431" s="13">
        <f ca="1">IFERROR(__xludf.DUMMYFUNCTION("GOOGLEFINANCE(A431,""shares"")"),7152792000)</f>
        <v>7152792000</v>
      </c>
      <c r="H431" s="10">
        <f ca="1">IFERROR(__xludf.DUMMYFUNCTION("GOOGLEFINANCE(A431,""marketcap"")"),125889141928)</f>
        <v>125889141928</v>
      </c>
      <c r="I431" s="13">
        <f ca="1">IFERROR(__xludf.DUMMYFUNCTION("GOOGLEFINANCE(A431,""volume"")"),33458097)</f>
        <v>33458097</v>
      </c>
      <c r="J431" s="13">
        <f ca="1">IFERROR(__xludf.DUMMYFUNCTION("GOOGLEFINANCE(A431,""volumeavg"")"),34682613)</f>
        <v>34682613</v>
      </c>
      <c r="K431" s="15">
        <f ca="1">IFERROR(__xludf.DUMMYFUNCTION("GOOGLEFINANCE(A431,""high52"")"),19.99)</f>
        <v>19.989999999999998</v>
      </c>
      <c r="L431" s="15">
        <f ca="1">IFERROR(__xludf.DUMMYFUNCTION("GOOGLEFINANCE(A431,""low52"")"),13.43)</f>
        <v>13.43</v>
      </c>
      <c r="M431" s="7">
        <f t="shared" ca="1" si="0"/>
        <v>45379.717931597224</v>
      </c>
    </row>
    <row r="432" spans="1:13">
      <c r="A432" s="4" t="s">
        <v>443</v>
      </c>
      <c r="B432" s="5" t="str">
        <f ca="1">IFERROR(__xludf.DUMMYFUNCTION("GoogleFinance(A432, ""name"")"),"Molson Coors Beverage Co Class B")</f>
        <v>Molson Coors Beverage Co Class B</v>
      </c>
      <c r="C432" s="15">
        <f ca="1">IFERROR(__xludf.DUMMYFUNCTION("GoogleFinance(A432, ""price"")"),67.25)</f>
        <v>67.25</v>
      </c>
      <c r="D432" s="6">
        <f ca="1">IFERROR(__xludf.DUMMYFUNCTION("GoogleFinance(A432, ""eps"")"),4.37)</f>
        <v>4.37</v>
      </c>
      <c r="E432" s="6">
        <f ca="1">IFERROR(__xludf.DUMMYFUNCTION("GOOGLEFINANCE(A432,""pe"")"),15.4)</f>
        <v>15.4</v>
      </c>
      <c r="F432" s="6">
        <f ca="1">IFERROR(__xludf.DUMMYFUNCTION("GoogleFinance(A432, ""beta"")"),0.83)</f>
        <v>0.83</v>
      </c>
      <c r="G432" s="13">
        <f ca="1">IFERROR(__xludf.DUMMYFUNCTION("GOOGLEFINANCE(A432,""shares"")"),198002000)</f>
        <v>198002000</v>
      </c>
      <c r="H432" s="10">
        <f ca="1">IFERROR(__xludf.DUMMYFUNCTION("GOOGLEFINANCE(A432,""marketcap"")"),13488917575)</f>
        <v>13488917575</v>
      </c>
      <c r="I432" s="13">
        <f ca="1">IFERROR(__xludf.DUMMYFUNCTION("GOOGLEFINANCE(A432,""volume"")"),1189986)</f>
        <v>1189986</v>
      </c>
      <c r="J432" s="13">
        <f ca="1">IFERROR(__xludf.DUMMYFUNCTION("GOOGLEFINANCE(A432,""volumeavg"")"),1651636)</f>
        <v>1651636</v>
      </c>
      <c r="K432" s="15">
        <f ca="1">IFERROR(__xludf.DUMMYFUNCTION("GOOGLEFINANCE(A432,""high52"")"),70.9)</f>
        <v>70.900000000000006</v>
      </c>
      <c r="L432" s="15">
        <f ca="1">IFERROR(__xludf.DUMMYFUNCTION("GOOGLEFINANCE(A432,""low52"")"),51.41)</f>
        <v>51.41</v>
      </c>
      <c r="M432" s="7">
        <f t="shared" ca="1" si="0"/>
        <v>45379.717931597224</v>
      </c>
    </row>
    <row r="433" spans="1:13">
      <c r="A433" s="4" t="s">
        <v>444</v>
      </c>
      <c r="B433" s="5" t="str">
        <f ca="1">IFERROR(__xludf.DUMMYFUNCTION("GoogleFinance(A433, ""name"")"),"TransDigm Group Inc")</f>
        <v>TransDigm Group Inc</v>
      </c>
      <c r="C433" s="15">
        <f ca="1">IFERROR(__xludf.DUMMYFUNCTION("GoogleFinance(A433, ""price"")"),1231.6)</f>
        <v>1231.5999999999999</v>
      </c>
      <c r="D433" s="6">
        <f ca="1">IFERROR(__xludf.DUMMYFUNCTION("GoogleFinance(A433, ""eps"")"),23.55)</f>
        <v>23.55</v>
      </c>
      <c r="E433" s="6">
        <f ca="1">IFERROR(__xludf.DUMMYFUNCTION("GOOGLEFINANCE(A433,""pe"")"),52.3)</f>
        <v>52.3</v>
      </c>
      <c r="F433" s="6">
        <f ca="1">IFERROR(__xludf.DUMMYFUNCTION("GoogleFinance(A433, ""beta"")"),1.4)</f>
        <v>1.4</v>
      </c>
      <c r="G433" s="13">
        <f ca="1">IFERROR(__xludf.DUMMYFUNCTION("GOOGLEFINANCE(A433,""shares"")"),55606000)</f>
        <v>55606000</v>
      </c>
      <c r="H433" s="10">
        <f ca="1">IFERROR(__xludf.DUMMYFUNCTION("GOOGLEFINANCE(A433,""marketcap"")"),68484668458)</f>
        <v>68484668458</v>
      </c>
      <c r="I433" s="13">
        <f ca="1">IFERROR(__xludf.DUMMYFUNCTION("GOOGLEFINANCE(A433,""volume"")"),164404)</f>
        <v>164404</v>
      </c>
      <c r="J433" s="13">
        <f ca="1">IFERROR(__xludf.DUMMYFUNCTION("GOOGLEFINANCE(A433,""volumeavg"")"),204618)</f>
        <v>204618</v>
      </c>
      <c r="K433" s="15">
        <f ca="1">IFERROR(__xludf.DUMMYFUNCTION("GOOGLEFINANCE(A433,""high52"")"),1238.95)</f>
        <v>1238.95</v>
      </c>
      <c r="L433" s="15">
        <f ca="1">IFERROR(__xludf.DUMMYFUNCTION("GOOGLEFINANCE(A433,""low52"")"),714.98)</f>
        <v>714.98</v>
      </c>
      <c r="M433" s="7">
        <f t="shared" ca="1" si="0"/>
        <v>45379.717931597224</v>
      </c>
    </row>
    <row r="434" spans="1:13">
      <c r="A434" s="4" t="s">
        <v>445</v>
      </c>
      <c r="B434" s="5" t="str">
        <f ca="1">IFERROR(__xludf.DUMMYFUNCTION("GoogleFinance(A434, ""name"")"),"Teledyne Technologies Inc")</f>
        <v>Teledyne Technologies Inc</v>
      </c>
      <c r="C434" s="15">
        <f ca="1">IFERROR(__xludf.DUMMYFUNCTION("GoogleFinance(A434, ""price"")"),429.32)</f>
        <v>429.32</v>
      </c>
      <c r="D434" s="6">
        <f ca="1">IFERROR(__xludf.DUMMYFUNCTION("GoogleFinance(A434, ""eps"")"),18.49)</f>
        <v>18.489999999999998</v>
      </c>
      <c r="E434" s="6">
        <f ca="1">IFERROR(__xludf.DUMMYFUNCTION("GOOGLEFINANCE(A434,""pe"")"),23.22)</f>
        <v>23.22</v>
      </c>
      <c r="F434" s="6">
        <f ca="1">IFERROR(__xludf.DUMMYFUNCTION("GoogleFinance(A434, ""beta"")"),1.02)</f>
        <v>1.02</v>
      </c>
      <c r="G434" s="13">
        <f ca="1">IFERROR(__xludf.DUMMYFUNCTION("GOOGLEFINANCE(A434,""shares"")"),47376000)</f>
        <v>47376000</v>
      </c>
      <c r="H434" s="10">
        <f ca="1">IFERROR(__xludf.DUMMYFUNCTION("GOOGLEFINANCE(A434,""marketcap"")"),20339614928)</f>
        <v>20339614928</v>
      </c>
      <c r="I434" s="13">
        <f ca="1">IFERROR(__xludf.DUMMYFUNCTION("GOOGLEFINANCE(A434,""volume"")"),248608)</f>
        <v>248608</v>
      </c>
      <c r="J434" s="13">
        <f ca="1">IFERROR(__xludf.DUMMYFUNCTION("GOOGLEFINANCE(A434,""volumeavg"")"),205575)</f>
        <v>205575</v>
      </c>
      <c r="K434" s="15">
        <f ca="1">IFERROR(__xludf.DUMMYFUNCTION("GOOGLEFINANCE(A434,""high52"")"),448.71)</f>
        <v>448.71</v>
      </c>
      <c r="L434" s="15">
        <f ca="1">IFERROR(__xludf.DUMMYFUNCTION("GOOGLEFINANCE(A434,""low52"")"),364.98)</f>
        <v>364.98</v>
      </c>
      <c r="M434" s="7">
        <f t="shared" ca="1" si="0"/>
        <v>45379.717931597224</v>
      </c>
    </row>
    <row r="435" spans="1:13">
      <c r="A435" s="4" t="s">
        <v>446</v>
      </c>
      <c r="B435" s="5" t="str">
        <f ca="1">IFERROR(__xludf.DUMMYFUNCTION("GoogleFinance(A435, ""name"")"),"BIO-TECHNE Corp")</f>
        <v>BIO-TECHNE Corp</v>
      </c>
      <c r="C435" s="15">
        <f ca="1">IFERROR(__xludf.DUMMYFUNCTION("GoogleFinance(A435, ""price"")"),70.39)</f>
        <v>70.39</v>
      </c>
      <c r="D435" s="6">
        <f ca="1">IFERROR(__xludf.DUMMYFUNCTION("GoogleFinance(A435, ""eps"")"),1.39)</f>
        <v>1.39</v>
      </c>
      <c r="E435" s="6">
        <f ca="1">IFERROR(__xludf.DUMMYFUNCTION("GOOGLEFINANCE(A435,""pe"")"),50.78)</f>
        <v>50.78</v>
      </c>
      <c r="F435" s="6">
        <f ca="1">IFERROR(__xludf.DUMMYFUNCTION("GoogleFinance(A435, ""beta"")"),1.22)</f>
        <v>1.22</v>
      </c>
      <c r="G435" s="13">
        <f ca="1">IFERROR(__xludf.DUMMYFUNCTION("GOOGLEFINANCE(A435,""shares"")"),157192000)</f>
        <v>157192000</v>
      </c>
      <c r="H435" s="10">
        <f ca="1">IFERROR(__xludf.DUMMYFUNCTION("GOOGLEFINANCE(A435,""marketcap"")"),11064723667)</f>
        <v>11064723667</v>
      </c>
      <c r="I435" s="13">
        <f ca="1">IFERROR(__xludf.DUMMYFUNCTION("GOOGLEFINANCE(A435,""volume"")"),1179959)</f>
        <v>1179959</v>
      </c>
      <c r="J435" s="13">
        <f ca="1">IFERROR(__xludf.DUMMYFUNCTION("GOOGLEFINANCE(A435,""volumeavg"")"),1082166)</f>
        <v>1082166</v>
      </c>
      <c r="K435" s="15">
        <f ca="1">IFERROR(__xludf.DUMMYFUNCTION("GOOGLEFINANCE(A435,""high52"")"),89.91)</f>
        <v>89.91</v>
      </c>
      <c r="L435" s="15">
        <f ca="1">IFERROR(__xludf.DUMMYFUNCTION("GOOGLEFINANCE(A435,""low52"")"),51.79)</f>
        <v>51.79</v>
      </c>
      <c r="M435" s="7">
        <f t="shared" ca="1" si="0"/>
        <v>45379.717931597224</v>
      </c>
    </row>
    <row r="436" spans="1:13">
      <c r="A436" s="4" t="s">
        <v>447</v>
      </c>
      <c r="B436" s="5" t="str">
        <f ca="1">IFERROR(__xludf.DUMMYFUNCTION("GoogleFinance(A436, ""name"")"),"TE Connectivity Ltd")</f>
        <v>TE Connectivity Ltd</v>
      </c>
      <c r="C436" s="15">
        <f ca="1">IFERROR(__xludf.DUMMYFUNCTION("GoogleFinance(A436, ""price"")"),145.24)</f>
        <v>145.24</v>
      </c>
      <c r="D436" s="6">
        <f ca="1">IFERROR(__xludf.DUMMYFUNCTION("GoogleFinance(A436, ""eps"")"),10.55)</f>
        <v>10.55</v>
      </c>
      <c r="E436" s="6">
        <f ca="1">IFERROR(__xludf.DUMMYFUNCTION("GOOGLEFINANCE(A436,""pe"")"),13.77)</f>
        <v>13.77</v>
      </c>
      <c r="F436" s="6">
        <f ca="1">IFERROR(__xludf.DUMMYFUNCTION("GoogleFinance(A436, ""beta"")"),1.4)</f>
        <v>1.4</v>
      </c>
      <c r="G436" s="13">
        <f ca="1">IFERROR(__xludf.DUMMYFUNCTION("GOOGLEFINANCE(A436,""shares"")"),308799000)</f>
        <v>308799000</v>
      </c>
      <c r="H436" s="10">
        <f ca="1">IFERROR(__xludf.DUMMYFUNCTION("GOOGLEFINANCE(A436,""marketcap"")"),44849968456)</f>
        <v>44849968456</v>
      </c>
      <c r="I436" s="13">
        <f ca="1">IFERROR(__xludf.DUMMYFUNCTION("GOOGLEFINANCE(A436,""volume"")"),1544811)</f>
        <v>1544811</v>
      </c>
      <c r="J436" s="13">
        <f ca="1">IFERROR(__xludf.DUMMYFUNCTION("GOOGLEFINANCE(A436,""volumeavg"")"),2116714)</f>
        <v>2116714</v>
      </c>
      <c r="K436" s="15">
        <f ca="1">IFERROR(__xludf.DUMMYFUNCTION("GOOGLEFINANCE(A436,""high52"")"),146.84)</f>
        <v>146.84</v>
      </c>
      <c r="L436" s="15">
        <f ca="1">IFERROR(__xludf.DUMMYFUNCTION("GOOGLEFINANCE(A436,""low52"")"),115)</f>
        <v>115</v>
      </c>
      <c r="M436" s="7">
        <f t="shared" ca="1" si="0"/>
        <v>45379.717931597224</v>
      </c>
    </row>
    <row r="437" spans="1:13">
      <c r="A437" s="4" t="s">
        <v>448</v>
      </c>
      <c r="B437" s="5" t="str">
        <f ca="1">IFERROR(__xludf.DUMMYFUNCTION("GoogleFinance(A437, ""name"")"),"Teradyne Inc")</f>
        <v>Teradyne Inc</v>
      </c>
      <c r="C437" s="15">
        <f ca="1">IFERROR(__xludf.DUMMYFUNCTION("GoogleFinance(A437, ""price"")"),112.83)</f>
        <v>112.83</v>
      </c>
      <c r="D437" s="6">
        <f ca="1">IFERROR(__xludf.DUMMYFUNCTION("GoogleFinance(A437, ""eps"")"),2.73)</f>
        <v>2.73</v>
      </c>
      <c r="E437" s="6">
        <f ca="1">IFERROR(__xludf.DUMMYFUNCTION("GOOGLEFINANCE(A437,""pe"")"),41.31)</f>
        <v>41.31</v>
      </c>
      <c r="F437" s="6">
        <f ca="1">IFERROR(__xludf.DUMMYFUNCTION("GoogleFinance(A437, ""beta"")"),1.55)</f>
        <v>1.55</v>
      </c>
      <c r="G437" s="13">
        <f ca="1">IFERROR(__xludf.DUMMYFUNCTION("GOOGLEFINANCE(A437,""shares"")"),153081000)</f>
        <v>153081000</v>
      </c>
      <c r="H437" s="10">
        <f ca="1">IFERROR(__xludf.DUMMYFUNCTION("GOOGLEFINANCE(A437,""marketcap"")"),17272073095)</f>
        <v>17272073095</v>
      </c>
      <c r="I437" s="13">
        <f ca="1">IFERROR(__xludf.DUMMYFUNCTION("GOOGLEFINANCE(A437,""volume"")"),2046935)</f>
        <v>2046935</v>
      </c>
      <c r="J437" s="13">
        <f ca="1">IFERROR(__xludf.DUMMYFUNCTION("GOOGLEFINANCE(A437,""volumeavg"")"),1748585)</f>
        <v>1748585</v>
      </c>
      <c r="K437" s="15">
        <f ca="1">IFERROR(__xludf.DUMMYFUNCTION("GOOGLEFINANCE(A437,""high52"")"),119.2)</f>
        <v>119.2</v>
      </c>
      <c r="L437" s="15">
        <f ca="1">IFERROR(__xludf.DUMMYFUNCTION("GOOGLEFINANCE(A437,""low52"")"),81.08)</f>
        <v>81.08</v>
      </c>
      <c r="M437" s="7">
        <f t="shared" ca="1" si="0"/>
        <v>45379.717931597224</v>
      </c>
    </row>
    <row r="438" spans="1:13">
      <c r="A438" s="4" t="s">
        <v>449</v>
      </c>
      <c r="B438" s="5" t="str">
        <f ca="1">IFERROR(__xludf.DUMMYFUNCTION("GoogleFinance(A438, ""name"")"),"Truist Financial Corp")</f>
        <v>Truist Financial Corp</v>
      </c>
      <c r="C438" s="15">
        <f ca="1">IFERROR(__xludf.DUMMYFUNCTION("GoogleFinance(A438, ""price"")"),38.98)</f>
        <v>38.979999999999997</v>
      </c>
      <c r="D438" s="6">
        <f ca="1">IFERROR(__xludf.DUMMYFUNCTION("GoogleFinance(A438, ""eps"")"),-1.09)</f>
        <v>-1.0900000000000001</v>
      </c>
      <c r="E438" s="6" t="str">
        <f ca="1">IFERROR(__xludf.DUMMYFUNCTION("GOOGLEFINANCE(A438,""pe"")"),"#N/A")</f>
        <v>#N/A</v>
      </c>
      <c r="F438" s="6">
        <f ca="1">IFERROR(__xludf.DUMMYFUNCTION("GoogleFinance(A438, ""beta"")"),1.07)</f>
        <v>1.07</v>
      </c>
      <c r="G438" s="13">
        <f ca="1">IFERROR(__xludf.DUMMYFUNCTION("GOOGLEFINANCE(A438,""shares"")"),1334591000)</f>
        <v>1334591000</v>
      </c>
      <c r="H438" s="10">
        <f ca="1">IFERROR(__xludf.DUMMYFUNCTION("GOOGLEFINANCE(A438,""marketcap"")"),52022317589)</f>
        <v>52022317589</v>
      </c>
      <c r="I438" s="13">
        <f ca="1">IFERROR(__xludf.DUMMYFUNCTION("GOOGLEFINANCE(A438,""volume"")"),8405426)</f>
        <v>8405426</v>
      </c>
      <c r="J438" s="13">
        <f ca="1">IFERROR(__xludf.DUMMYFUNCTION("GOOGLEFINANCE(A438,""volumeavg"")"),9348684)</f>
        <v>9348684</v>
      </c>
      <c r="K438" s="15">
        <f ca="1">IFERROR(__xludf.DUMMYFUNCTION("GOOGLEFINANCE(A438,""high52"")"),39.29)</f>
        <v>39.29</v>
      </c>
      <c r="L438" s="15">
        <f ca="1">IFERROR(__xludf.DUMMYFUNCTION("GOOGLEFINANCE(A438,""low52"")"),25.56)</f>
        <v>25.56</v>
      </c>
      <c r="M438" s="7">
        <f t="shared" ca="1" si="0"/>
        <v>45379.717931597224</v>
      </c>
    </row>
    <row r="439" spans="1:13">
      <c r="A439" s="4" t="s">
        <v>450</v>
      </c>
      <c r="B439" s="5" t="str">
        <f ca="1">IFERROR(__xludf.DUMMYFUNCTION("GoogleFinance(A439, ""name"")"),"Teleflex Inc")</f>
        <v>Teleflex Inc</v>
      </c>
      <c r="C439" s="15">
        <f ca="1">IFERROR(__xludf.DUMMYFUNCTION("GoogleFinance(A439, ""price"")"),226.17)</f>
        <v>226.17</v>
      </c>
      <c r="D439" s="6">
        <f ca="1">IFERROR(__xludf.DUMMYFUNCTION("GoogleFinance(A439, ""eps"")"),7.56)</f>
        <v>7.56</v>
      </c>
      <c r="E439" s="6">
        <f ca="1">IFERROR(__xludf.DUMMYFUNCTION("GOOGLEFINANCE(A439,""pe"")"),29.92)</f>
        <v>29.92</v>
      </c>
      <c r="F439" s="6">
        <f ca="1">IFERROR(__xludf.DUMMYFUNCTION("GoogleFinance(A439, ""beta"")"),1.11)</f>
        <v>1.1100000000000001</v>
      </c>
      <c r="G439" s="13">
        <f ca="1">IFERROR(__xludf.DUMMYFUNCTION("GOOGLEFINANCE(A439,""shares"")"),47056000)</f>
        <v>47056000</v>
      </c>
      <c r="H439" s="10">
        <f ca="1">IFERROR(__xludf.DUMMYFUNCTION("GOOGLEFINANCE(A439,""marketcap"")"),10642759472)</f>
        <v>10642759472</v>
      </c>
      <c r="I439" s="13">
        <f ca="1">IFERROR(__xludf.DUMMYFUNCTION("GOOGLEFINANCE(A439,""volume"")"),288953)</f>
        <v>288953</v>
      </c>
      <c r="J439" s="13">
        <f ca="1">IFERROR(__xludf.DUMMYFUNCTION("GOOGLEFINANCE(A439,""volumeavg"")"),312593)</f>
        <v>312593</v>
      </c>
      <c r="K439" s="15">
        <f ca="1">IFERROR(__xludf.DUMMYFUNCTION("GOOGLEFINANCE(A439,""high52"")"),276.43)</f>
        <v>276.43</v>
      </c>
      <c r="L439" s="15">
        <f ca="1">IFERROR(__xludf.DUMMYFUNCTION("GOOGLEFINANCE(A439,""low52"")"),177.63)</f>
        <v>177.63</v>
      </c>
      <c r="M439" s="7">
        <f t="shared" ca="1" si="0"/>
        <v>45379.717931597224</v>
      </c>
    </row>
    <row r="440" spans="1:13">
      <c r="A440" s="4" t="s">
        <v>451</v>
      </c>
      <c r="B440" s="5" t="str">
        <f ca="1">IFERROR(__xludf.DUMMYFUNCTION("GoogleFinance(A440, ""name"")"),"Target Corp")</f>
        <v>Target Corp</v>
      </c>
      <c r="C440" s="15">
        <f ca="1">IFERROR(__xludf.DUMMYFUNCTION("GoogleFinance(A440, ""price"")"),177.21)</f>
        <v>177.21</v>
      </c>
      <c r="D440" s="6">
        <f ca="1">IFERROR(__xludf.DUMMYFUNCTION("GoogleFinance(A440, ""eps"")"),8.94)</f>
        <v>8.94</v>
      </c>
      <c r="E440" s="6">
        <f ca="1">IFERROR(__xludf.DUMMYFUNCTION("GOOGLEFINANCE(A440,""pe"")"),19.82)</f>
        <v>19.82</v>
      </c>
      <c r="F440" s="6">
        <f ca="1">IFERROR(__xludf.DUMMYFUNCTION("GoogleFinance(A440, ""beta"")"),1.13)</f>
        <v>1.1299999999999999</v>
      </c>
      <c r="G440" s="13">
        <f ca="1">IFERROR(__xludf.DUMMYFUNCTION("GOOGLEFINANCE(A440,""shares"")"),461690000)</f>
        <v>461690000</v>
      </c>
      <c r="H440" s="10">
        <f ca="1">IFERROR(__xludf.DUMMYFUNCTION("GOOGLEFINANCE(A440,""marketcap"")"),81816123441)</f>
        <v>81816123441</v>
      </c>
      <c r="I440" s="13">
        <f ca="1">IFERROR(__xludf.DUMMYFUNCTION("GOOGLEFINANCE(A440,""volume"")"),3716144)</f>
        <v>3716144</v>
      </c>
      <c r="J440" s="13">
        <f ca="1">IFERROR(__xludf.DUMMYFUNCTION("GOOGLEFINANCE(A440,""volumeavg"")"),4280150)</f>
        <v>4280150</v>
      </c>
      <c r="K440" s="15">
        <f ca="1">IFERROR(__xludf.DUMMYFUNCTION("GOOGLEFINANCE(A440,""high52"")"),177.4)</f>
        <v>177.4</v>
      </c>
      <c r="L440" s="15">
        <f ca="1">IFERROR(__xludf.DUMMYFUNCTION("GOOGLEFINANCE(A440,""low52"")"),102.93)</f>
        <v>102.93</v>
      </c>
      <c r="M440" s="7">
        <f t="shared" ca="1" si="0"/>
        <v>45379.717931597224</v>
      </c>
    </row>
    <row r="441" spans="1:13">
      <c r="A441" s="4" t="s">
        <v>452</v>
      </c>
      <c r="B441" s="5" t="str">
        <f ca="1">IFERROR(__xludf.DUMMYFUNCTION("GoogleFinance(A441, ""name"")"),"TJX Companies Inc")</f>
        <v>TJX Companies Inc</v>
      </c>
      <c r="C441" s="15">
        <f ca="1">IFERROR(__xludf.DUMMYFUNCTION("GoogleFinance(A441, ""price"")"),101.42)</f>
        <v>101.42</v>
      </c>
      <c r="D441" s="6">
        <f ca="1">IFERROR(__xludf.DUMMYFUNCTION("GoogleFinance(A441, ""eps"")"),3.86)</f>
        <v>3.86</v>
      </c>
      <c r="E441" s="6">
        <f ca="1">IFERROR(__xludf.DUMMYFUNCTION("GOOGLEFINANCE(A441,""pe"")"),26.27)</f>
        <v>26.27</v>
      </c>
      <c r="F441" s="6">
        <f ca="1">IFERROR(__xludf.DUMMYFUNCTION("GoogleFinance(A441, ""beta"")"),0.86)</f>
        <v>0.86</v>
      </c>
      <c r="G441" s="13">
        <f ca="1">IFERROR(__xludf.DUMMYFUNCTION("GOOGLEFINANCE(A441,""shares"")"),1139677000)</f>
        <v>1139677000</v>
      </c>
      <c r="H441" s="10">
        <f ca="1">IFERROR(__xludf.DUMMYFUNCTION("GOOGLEFINANCE(A441,""marketcap"")"),115585937833)</f>
        <v>115585937833</v>
      </c>
      <c r="I441" s="13">
        <f ca="1">IFERROR(__xludf.DUMMYFUNCTION("GOOGLEFINANCE(A441,""volume"")"),4778175)</f>
        <v>4778175</v>
      </c>
      <c r="J441" s="13">
        <f ca="1">IFERROR(__xludf.DUMMYFUNCTION("GOOGLEFINANCE(A441,""volumeavg"")"),5491244)</f>
        <v>5491244</v>
      </c>
      <c r="K441" s="15">
        <f ca="1">IFERROR(__xludf.DUMMYFUNCTION("GOOGLEFINANCE(A441,""high52"")"),102.84)</f>
        <v>102.84</v>
      </c>
      <c r="L441" s="15">
        <f ca="1">IFERROR(__xludf.DUMMYFUNCTION("GOOGLEFINANCE(A441,""low52"")"),75.65)</f>
        <v>75.650000000000006</v>
      </c>
      <c r="M441" s="7">
        <f t="shared" ca="1" si="0"/>
        <v>45379.717931597224</v>
      </c>
    </row>
    <row r="442" spans="1:13">
      <c r="A442" s="4" t="s">
        <v>453</v>
      </c>
      <c r="B442" s="5" t="str">
        <f ca="1">IFERROR(__xludf.DUMMYFUNCTION("GoogleFinance(A442, ""name"")"),"Thermo Fisher Scientific Inc")</f>
        <v>Thermo Fisher Scientific Inc</v>
      </c>
      <c r="C442" s="15">
        <f ca="1">IFERROR(__xludf.DUMMYFUNCTION("GoogleFinance(A442, ""price"")"),581.21)</f>
        <v>581.21</v>
      </c>
      <c r="D442" s="6">
        <f ca="1">IFERROR(__xludf.DUMMYFUNCTION("GoogleFinance(A442, ""eps"")"),15.45)</f>
        <v>15.45</v>
      </c>
      <c r="E442" s="6">
        <f ca="1">IFERROR(__xludf.DUMMYFUNCTION("GOOGLEFINANCE(A442,""pe"")"),37.62)</f>
        <v>37.619999999999997</v>
      </c>
      <c r="F442" s="6">
        <f ca="1">IFERROR(__xludf.DUMMYFUNCTION("GoogleFinance(A442, ""beta"")"),0.8)</f>
        <v>0.8</v>
      </c>
      <c r="G442" s="13">
        <f ca="1">IFERROR(__xludf.DUMMYFUNCTION("GOOGLEFINANCE(A442,""shares"")"),381312000)</f>
        <v>381312000</v>
      </c>
      <c r="H442" s="10">
        <f ca="1">IFERROR(__xludf.DUMMYFUNCTION("GOOGLEFINANCE(A442,""marketcap"")"),221622472140)</f>
        <v>221622472140</v>
      </c>
      <c r="I442" s="13">
        <f ca="1">IFERROR(__xludf.DUMMYFUNCTION("GOOGLEFINANCE(A442,""volume"")"),1081545)</f>
        <v>1081545</v>
      </c>
      <c r="J442" s="13">
        <f ca="1">IFERROR(__xludf.DUMMYFUNCTION("GOOGLEFINANCE(A442,""volumeavg"")"),1278441)</f>
        <v>1278441</v>
      </c>
      <c r="K442" s="15">
        <f ca="1">IFERROR(__xludf.DUMMYFUNCTION("GOOGLEFINANCE(A442,""high52"")"),603.82)</f>
        <v>603.82000000000005</v>
      </c>
      <c r="L442" s="15">
        <f ca="1">IFERROR(__xludf.DUMMYFUNCTION("GOOGLEFINANCE(A442,""low52"")"),415.6)</f>
        <v>415.6</v>
      </c>
      <c r="M442" s="7">
        <f t="shared" ca="1" si="0"/>
        <v>45379.717931597224</v>
      </c>
    </row>
    <row r="443" spans="1:13">
      <c r="A443" s="4" t="s">
        <v>454</v>
      </c>
      <c r="B443" s="5" t="str">
        <f ca="1">IFERROR(__xludf.DUMMYFUNCTION("GoogleFinance(A443, ""name"")"),"T-Mobile Us Inc")</f>
        <v>T-Mobile Us Inc</v>
      </c>
      <c r="C443" s="15">
        <f ca="1">IFERROR(__xludf.DUMMYFUNCTION("GoogleFinance(A443, ""price"")"),163.22)</f>
        <v>163.22</v>
      </c>
      <c r="D443" s="6">
        <f ca="1">IFERROR(__xludf.DUMMYFUNCTION("GoogleFinance(A443, ""eps"")"),6.93)</f>
        <v>6.93</v>
      </c>
      <c r="E443" s="6">
        <f ca="1">IFERROR(__xludf.DUMMYFUNCTION("GOOGLEFINANCE(A443,""pe"")"),23.56)</f>
        <v>23.56</v>
      </c>
      <c r="F443" s="6">
        <f ca="1">IFERROR(__xludf.DUMMYFUNCTION("GoogleFinance(A443, ""beta"")"),0.49)</f>
        <v>0.49</v>
      </c>
      <c r="G443" s="13">
        <f ca="1">IFERROR(__xludf.DUMMYFUNCTION("GOOGLEFINANCE(A443,""shares"")"),1186868000)</f>
        <v>1186868000</v>
      </c>
      <c r="H443" s="10">
        <f ca="1">IFERROR(__xludf.DUMMYFUNCTION("GOOGLEFINANCE(A443,""marketcap"")"),193720433188)</f>
        <v>193720433188</v>
      </c>
      <c r="I443" s="13">
        <f ca="1">IFERROR(__xludf.DUMMYFUNCTION("GOOGLEFINANCE(A443,""volume"")"),3919815)</f>
        <v>3919815</v>
      </c>
      <c r="J443" s="13">
        <f ca="1">IFERROR(__xludf.DUMMYFUNCTION("GOOGLEFINANCE(A443,""volumeavg"")"),4490117)</f>
        <v>4490117</v>
      </c>
      <c r="K443" s="15">
        <f ca="1">IFERROR(__xludf.DUMMYFUNCTION("GOOGLEFINANCE(A443,""high52"")"),168.64)</f>
        <v>168.64</v>
      </c>
      <c r="L443" s="15">
        <f ca="1">IFERROR(__xludf.DUMMYFUNCTION("GOOGLEFINANCE(A443,""low52"")"),124.92)</f>
        <v>124.92</v>
      </c>
      <c r="M443" s="7">
        <f t="shared" ca="1" si="0"/>
        <v>45379.717931597224</v>
      </c>
    </row>
    <row r="444" spans="1:13">
      <c r="A444" s="4" t="s">
        <v>455</v>
      </c>
      <c r="B444" s="5" t="str">
        <f ca="1">IFERROR(__xludf.DUMMYFUNCTION("GoogleFinance(A444, ""name"")"),"Tapestry Inc")</f>
        <v>Tapestry Inc</v>
      </c>
      <c r="C444" s="15">
        <f ca="1">IFERROR(__xludf.DUMMYFUNCTION("GoogleFinance(A444, ""price"")"),47.48)</f>
        <v>47.48</v>
      </c>
      <c r="D444" s="6">
        <f ca="1">IFERROR(__xludf.DUMMYFUNCTION("GoogleFinance(A444, ""eps"")"),3.96)</f>
        <v>3.96</v>
      </c>
      <c r="E444" s="6">
        <f ca="1">IFERROR(__xludf.DUMMYFUNCTION("GOOGLEFINANCE(A444,""pe"")"),11.99)</f>
        <v>11.99</v>
      </c>
      <c r="F444" s="6">
        <f ca="1">IFERROR(__xludf.DUMMYFUNCTION("GoogleFinance(A444, ""beta"")"),1.57)</f>
        <v>1.57</v>
      </c>
      <c r="G444" s="13">
        <f ca="1">IFERROR(__xludf.DUMMYFUNCTION("GOOGLEFINANCE(A444,""shares"")"),229366000)</f>
        <v>229366000</v>
      </c>
      <c r="H444" s="10">
        <f ca="1">IFERROR(__xludf.DUMMYFUNCTION("GOOGLEFINANCE(A444,""marketcap"")"),10890302323)</f>
        <v>10890302323</v>
      </c>
      <c r="I444" s="13">
        <f ca="1">IFERROR(__xludf.DUMMYFUNCTION("GOOGLEFINANCE(A444,""volume"")"),3051703)</f>
        <v>3051703</v>
      </c>
      <c r="J444" s="13">
        <f ca="1">IFERROR(__xludf.DUMMYFUNCTION("GOOGLEFINANCE(A444,""volumeavg"")"),3498369)</f>
        <v>3498369</v>
      </c>
      <c r="K444" s="15">
        <f ca="1">IFERROR(__xludf.DUMMYFUNCTION("GOOGLEFINANCE(A444,""high52"")"),48.8)</f>
        <v>48.8</v>
      </c>
      <c r="L444" s="15">
        <f ca="1">IFERROR(__xludf.DUMMYFUNCTION("GOOGLEFINANCE(A444,""low52"")"),25.99)</f>
        <v>25.99</v>
      </c>
      <c r="M444" s="7">
        <f t="shared" ca="1" si="0"/>
        <v>45379.717931597224</v>
      </c>
    </row>
    <row r="445" spans="1:13">
      <c r="A445" s="4" t="s">
        <v>456</v>
      </c>
      <c r="B445" s="5" t="str">
        <f ca="1">IFERROR(__xludf.DUMMYFUNCTION("GoogleFinance(A445, ""name"")"),"Targa Resources Corp")</f>
        <v>Targa Resources Corp</v>
      </c>
      <c r="C445" s="15">
        <f ca="1">IFERROR(__xludf.DUMMYFUNCTION("GoogleFinance(A445, ""price"")"),111.99)</f>
        <v>111.99</v>
      </c>
      <c r="D445" s="6">
        <f ca="1">IFERROR(__xludf.DUMMYFUNCTION("GoogleFinance(A445, ""eps"")"),3.66)</f>
        <v>3.66</v>
      </c>
      <c r="E445" s="6">
        <f ca="1">IFERROR(__xludf.DUMMYFUNCTION("GOOGLEFINANCE(A445,""pe"")"),30.56)</f>
        <v>30.56</v>
      </c>
      <c r="F445" s="6">
        <f ca="1">IFERROR(__xludf.DUMMYFUNCTION("GoogleFinance(A445, ""beta"")"),2.21)</f>
        <v>2.21</v>
      </c>
      <c r="G445" s="13">
        <f ca="1">IFERROR(__xludf.DUMMYFUNCTION("GOOGLEFINANCE(A445,""shares"")"),223155000)</f>
        <v>223155000</v>
      </c>
      <c r="H445" s="10">
        <f ca="1">IFERROR(__xludf.DUMMYFUNCTION("GOOGLEFINANCE(A445,""marketcap"")"),24921716572)</f>
        <v>24921716572</v>
      </c>
      <c r="I445" s="13">
        <f ca="1">IFERROR(__xludf.DUMMYFUNCTION("GOOGLEFINANCE(A445,""volume"")"),1571188)</f>
        <v>1571188</v>
      </c>
      <c r="J445" s="13">
        <f ca="1">IFERROR(__xludf.DUMMYFUNCTION("GOOGLEFINANCE(A445,""volumeavg"")"),1902288)</f>
        <v>1902288</v>
      </c>
      <c r="K445" s="15">
        <f ca="1">IFERROR(__xludf.DUMMYFUNCTION("GOOGLEFINANCE(A445,""high52"")"),112.5)</f>
        <v>112.5</v>
      </c>
      <c r="L445" s="15">
        <f ca="1">IFERROR(__xludf.DUMMYFUNCTION("GOOGLEFINANCE(A445,""low52"")"),67.36)</f>
        <v>67.36</v>
      </c>
      <c r="M445" s="7">
        <f t="shared" ca="1" si="0"/>
        <v>45379.717931597224</v>
      </c>
    </row>
    <row r="446" spans="1:13">
      <c r="A446" s="4" t="s">
        <v>457</v>
      </c>
      <c r="B446" s="5" t="str">
        <f ca="1">IFERROR(__xludf.DUMMYFUNCTION("GoogleFinance(A446, ""name"")"),"Trimble Inc")</f>
        <v>Trimble Inc</v>
      </c>
      <c r="C446" s="15">
        <f ca="1">IFERROR(__xludf.DUMMYFUNCTION("GoogleFinance(A446, ""price"")"),64.36)</f>
        <v>64.36</v>
      </c>
      <c r="D446" s="6">
        <f ca="1">IFERROR(__xludf.DUMMYFUNCTION("GoogleFinance(A446, ""eps"")"),1.25)</f>
        <v>1.25</v>
      </c>
      <c r="E446" s="6">
        <f ca="1">IFERROR(__xludf.DUMMYFUNCTION("GOOGLEFINANCE(A446,""pe"")"),51.5)</f>
        <v>51.5</v>
      </c>
      <c r="F446" s="6">
        <f ca="1">IFERROR(__xludf.DUMMYFUNCTION("GoogleFinance(A446, ""beta"")"),1.5)</f>
        <v>1.5</v>
      </c>
      <c r="G446" s="13">
        <f ca="1">IFERROR(__xludf.DUMMYFUNCTION("GOOGLEFINANCE(A446,""shares"")"),245687000)</f>
        <v>245687000</v>
      </c>
      <c r="H446" s="10">
        <f ca="1">IFERROR(__xludf.DUMMYFUNCTION("GOOGLEFINANCE(A446,""marketcap"")"),15812428341)</f>
        <v>15812428341</v>
      </c>
      <c r="I446" s="13">
        <f ca="1">IFERROR(__xludf.DUMMYFUNCTION("GOOGLEFINANCE(A446,""volume"")"),2964511)</f>
        <v>2964511</v>
      </c>
      <c r="J446" s="13">
        <f ca="1">IFERROR(__xludf.DUMMYFUNCTION("GOOGLEFINANCE(A446,""volumeavg"")"),1485110)</f>
        <v>1485110</v>
      </c>
      <c r="K446" s="15">
        <f ca="1">IFERROR(__xludf.DUMMYFUNCTION("GOOGLEFINANCE(A446,""high52"")"),65.55)</f>
        <v>65.55</v>
      </c>
      <c r="L446" s="15">
        <f ca="1">IFERROR(__xludf.DUMMYFUNCTION("GOOGLEFINANCE(A446,""low52"")"),39.57)</f>
        <v>39.57</v>
      </c>
      <c r="M446" s="7">
        <f t="shared" ca="1" si="0"/>
        <v>45379.717931597224</v>
      </c>
    </row>
    <row r="447" spans="1:13">
      <c r="A447" s="4" t="s">
        <v>458</v>
      </c>
      <c r="B447" s="5" t="str">
        <f ca="1">IFERROR(__xludf.DUMMYFUNCTION("GoogleFinance(A447, ""name"")"),"T Rowe Price Group Inc")</f>
        <v>T Rowe Price Group Inc</v>
      </c>
      <c r="C447" s="15">
        <f ca="1">IFERROR(__xludf.DUMMYFUNCTION("GoogleFinance(A447, ""price"")"),121.92)</f>
        <v>121.92</v>
      </c>
      <c r="D447" s="6">
        <f ca="1">IFERROR(__xludf.DUMMYFUNCTION("GoogleFinance(A447, ""eps"")"),7.76)</f>
        <v>7.76</v>
      </c>
      <c r="E447" s="6">
        <f ca="1">IFERROR(__xludf.DUMMYFUNCTION("GOOGLEFINANCE(A447,""pe"")"),15.71)</f>
        <v>15.71</v>
      </c>
      <c r="F447" s="6">
        <f ca="1">IFERROR(__xludf.DUMMYFUNCTION("GoogleFinance(A447, ""beta"")"),1.39)</f>
        <v>1.39</v>
      </c>
      <c r="G447" s="13">
        <f ca="1">IFERROR(__xludf.DUMMYFUNCTION("GOOGLEFINANCE(A447,""shares"")"),223657000)</f>
        <v>223657000</v>
      </c>
      <c r="H447" s="10">
        <f ca="1">IFERROR(__xludf.DUMMYFUNCTION("GOOGLEFINANCE(A447,""marketcap"")"),27266651686)</f>
        <v>27266651686</v>
      </c>
      <c r="I447" s="13">
        <f ca="1">IFERROR(__xludf.DUMMYFUNCTION("GOOGLEFINANCE(A447,""volume"")"),1419182)</f>
        <v>1419182</v>
      </c>
      <c r="J447" s="13">
        <f ca="1">IFERROR(__xludf.DUMMYFUNCTION("GOOGLEFINANCE(A447,""volumeavg"")"),1308247)</f>
        <v>1308247</v>
      </c>
      <c r="K447" s="15">
        <f ca="1">IFERROR(__xludf.DUMMYFUNCTION("GOOGLEFINANCE(A447,""high52"")"),132.76)</f>
        <v>132.76</v>
      </c>
      <c r="L447" s="15">
        <f ca="1">IFERROR(__xludf.DUMMYFUNCTION("GOOGLEFINANCE(A447,""low52"")"),87.43)</f>
        <v>87.43</v>
      </c>
      <c r="M447" s="7">
        <f t="shared" ca="1" si="0"/>
        <v>45379.717931597224</v>
      </c>
    </row>
    <row r="448" spans="1:13">
      <c r="A448" s="4" t="s">
        <v>459</v>
      </c>
      <c r="B448" s="5" t="str">
        <f ca="1">IFERROR(__xludf.DUMMYFUNCTION("GoogleFinance(A448, ""name"")"),"Travelers Companies Inc")</f>
        <v>Travelers Companies Inc</v>
      </c>
      <c r="C448" s="15">
        <f ca="1">IFERROR(__xludf.DUMMYFUNCTION("GoogleFinance(A448, ""price"")"),230.14)</f>
        <v>230.14</v>
      </c>
      <c r="D448" s="6">
        <f ca="1">IFERROR(__xludf.DUMMYFUNCTION("GoogleFinance(A448, ""eps"")"),12.79)</f>
        <v>12.79</v>
      </c>
      <c r="E448" s="6">
        <f ca="1">IFERROR(__xludf.DUMMYFUNCTION("GOOGLEFINANCE(A448,""pe"")"),18)</f>
        <v>18</v>
      </c>
      <c r="F448" s="6">
        <f ca="1">IFERROR(__xludf.DUMMYFUNCTION("GoogleFinance(A448, ""beta"")"),0.58)</f>
        <v>0.57999999999999996</v>
      </c>
      <c r="G448" s="13">
        <f ca="1">IFERROR(__xludf.DUMMYFUNCTION("GOOGLEFINANCE(A448,""shares"")"),229126000)</f>
        <v>229126000</v>
      </c>
      <c r="H448" s="10">
        <f ca="1">IFERROR(__xludf.DUMMYFUNCTION("GOOGLEFINANCE(A448,""marketcap"")"),52731011472)</f>
        <v>52731011472</v>
      </c>
      <c r="I448" s="13">
        <f ca="1">IFERROR(__xludf.DUMMYFUNCTION("GOOGLEFINANCE(A448,""volume"")"),871110)</f>
        <v>871110</v>
      </c>
      <c r="J448" s="13">
        <f ca="1">IFERROR(__xludf.DUMMYFUNCTION("GOOGLEFINANCE(A448,""volumeavg"")"),1328366)</f>
        <v>1328366</v>
      </c>
      <c r="K448" s="15">
        <f ca="1">IFERROR(__xludf.DUMMYFUNCTION("GOOGLEFINANCE(A448,""high52"")"),230.87)</f>
        <v>230.87</v>
      </c>
      <c r="L448" s="15">
        <f ca="1">IFERROR(__xludf.DUMMYFUNCTION("GOOGLEFINANCE(A448,""low52"")"),157.33)</f>
        <v>157.33000000000001</v>
      </c>
      <c r="M448" s="7">
        <f t="shared" ca="1" si="0"/>
        <v>45379.717931597224</v>
      </c>
    </row>
    <row r="449" spans="1:13">
      <c r="A449" s="4" t="s">
        <v>460</v>
      </c>
      <c r="B449" s="5" t="str">
        <f ca="1">IFERROR(__xludf.DUMMYFUNCTION("GoogleFinance(A449, ""name"")"),"Tractor Supply Co")</f>
        <v>Tractor Supply Co</v>
      </c>
      <c r="C449" s="15">
        <f ca="1">IFERROR(__xludf.DUMMYFUNCTION("GoogleFinance(A449, ""price"")"),261.72)</f>
        <v>261.72000000000003</v>
      </c>
      <c r="D449" s="6">
        <f ca="1">IFERROR(__xludf.DUMMYFUNCTION("GoogleFinance(A449, ""eps"")"),10.09)</f>
        <v>10.09</v>
      </c>
      <c r="E449" s="6">
        <f ca="1">IFERROR(__xludf.DUMMYFUNCTION("GOOGLEFINANCE(A449,""pe"")"),25.94)</f>
        <v>25.94</v>
      </c>
      <c r="F449" s="6">
        <f ca="1">IFERROR(__xludf.DUMMYFUNCTION("GoogleFinance(A449, ""beta"")"),0.84)</f>
        <v>0.84</v>
      </c>
      <c r="G449" s="13">
        <f ca="1">IFERROR(__xludf.DUMMYFUNCTION("GOOGLEFINANCE(A449,""shares"")"),107917000)</f>
        <v>107917000</v>
      </c>
      <c r="H449" s="10">
        <f ca="1">IFERROR(__xludf.DUMMYFUNCTION("GOOGLEFINANCE(A449,""marketcap"")"),28243906511)</f>
        <v>28243906511</v>
      </c>
      <c r="I449" s="13">
        <f ca="1">IFERROR(__xludf.DUMMYFUNCTION("GOOGLEFINANCE(A449,""volume"")"),646953)</f>
        <v>646953</v>
      </c>
      <c r="J449" s="13">
        <f ca="1">IFERROR(__xludf.DUMMYFUNCTION("GOOGLEFINANCE(A449,""volumeavg"")"),956288)</f>
        <v>956288</v>
      </c>
      <c r="K449" s="15">
        <f ca="1">IFERROR(__xludf.DUMMYFUNCTION("GOOGLEFINANCE(A449,""high52"")"),268.02)</f>
        <v>268.02</v>
      </c>
      <c r="L449" s="15">
        <f ca="1">IFERROR(__xludf.DUMMYFUNCTION("GOOGLEFINANCE(A449,""low52"")"),185)</f>
        <v>185</v>
      </c>
      <c r="M449" s="7">
        <f t="shared" ca="1" si="0"/>
        <v>45379.717931597224</v>
      </c>
    </row>
    <row r="450" spans="1:13">
      <c r="A450" s="4" t="s">
        <v>461</v>
      </c>
      <c r="B450" s="5" t="str">
        <f ca="1">IFERROR(__xludf.DUMMYFUNCTION("GoogleFinance(A450, ""name"")"),"Tesla Inc")</f>
        <v>Tesla Inc</v>
      </c>
      <c r="C450" s="15">
        <f ca="1">IFERROR(__xludf.DUMMYFUNCTION("GoogleFinance(A450, ""price"")"),175.79)</f>
        <v>175.79</v>
      </c>
      <c r="D450" s="6">
        <f ca="1">IFERROR(__xludf.DUMMYFUNCTION("GoogleFinance(A450, ""eps"")"),4.3)</f>
        <v>4.3</v>
      </c>
      <c r="E450" s="6">
        <f ca="1">IFERROR(__xludf.DUMMYFUNCTION("GOOGLEFINANCE(A450,""pe"")"),40.84)</f>
        <v>40.840000000000003</v>
      </c>
      <c r="F450" s="6">
        <f ca="1">IFERROR(__xludf.DUMMYFUNCTION("GoogleFinance(A450, ""beta"")"),2.41)</f>
        <v>2.41</v>
      </c>
      <c r="G450" s="13">
        <f ca="1">IFERROR(__xludf.DUMMYFUNCTION("GOOGLEFINANCE(A450,""shares"")"),3184790000)</f>
        <v>3184790000</v>
      </c>
      <c r="H450" s="10">
        <f ca="1">IFERROR(__xludf.DUMMYFUNCTION("GOOGLEFINANCE(A450,""marketcap"")"),550832670262)</f>
        <v>550832670262</v>
      </c>
      <c r="I450" s="13">
        <f ca="1">IFERROR(__xludf.DUMMYFUNCTION("GOOGLEFINANCE(A450,""volume"")"),77547298)</f>
        <v>77547298</v>
      </c>
      <c r="J450" s="13">
        <f ca="1">IFERROR(__xludf.DUMMYFUNCTION("GOOGLEFINANCE(A450,""volumeavg"")"),97937205)</f>
        <v>97937205</v>
      </c>
      <c r="K450" s="15">
        <f ca="1">IFERROR(__xludf.DUMMYFUNCTION("GOOGLEFINANCE(A450,""high52"")"),299.29)</f>
        <v>299.29000000000002</v>
      </c>
      <c r="L450" s="15">
        <f ca="1">IFERROR(__xludf.DUMMYFUNCTION("GOOGLEFINANCE(A450,""low52"")"),152.37)</f>
        <v>152.37</v>
      </c>
      <c r="M450" s="7">
        <f t="shared" ca="1" si="0"/>
        <v>45379.717931597224</v>
      </c>
    </row>
    <row r="451" spans="1:13">
      <c r="A451" s="4" t="s">
        <v>462</v>
      </c>
      <c r="B451" s="5" t="str">
        <f ca="1">IFERROR(__xludf.DUMMYFUNCTION("GoogleFinance(A451, ""name"")"),"Tyson Foods Inc")</f>
        <v>Tyson Foods Inc</v>
      </c>
      <c r="C451" s="15">
        <f ca="1">IFERROR(__xludf.DUMMYFUNCTION("GoogleFinance(A451, ""price"")"),58.73)</f>
        <v>58.73</v>
      </c>
      <c r="D451" s="6">
        <f ca="1">IFERROR(__xludf.DUMMYFUNCTION("GoogleFinance(A451, ""eps"")"),-2.43)</f>
        <v>-2.4300000000000002</v>
      </c>
      <c r="E451" s="6" t="str">
        <f ca="1">IFERROR(__xludf.DUMMYFUNCTION("GOOGLEFINANCE(A451,""pe"")"),"#N/A")</f>
        <v>#N/A</v>
      </c>
      <c r="F451" s="6">
        <f ca="1">IFERROR(__xludf.DUMMYFUNCTION("GoogleFinance(A451, ""beta"")"),0.78)</f>
        <v>0.78</v>
      </c>
      <c r="G451" s="13">
        <f ca="1">IFERROR(__xludf.DUMMYFUNCTION("GOOGLEFINANCE(A451,""shares"")"),286339000)</f>
        <v>286339000</v>
      </c>
      <c r="H451" s="10">
        <f ca="1">IFERROR(__xludf.DUMMYFUNCTION("GOOGLEFINANCE(A451,""marketcap"")"),20928341368)</f>
        <v>20928341368</v>
      </c>
      <c r="I451" s="13">
        <f ca="1">IFERROR(__xludf.DUMMYFUNCTION("GOOGLEFINANCE(A451,""volume"")"),3405378)</f>
        <v>3405378</v>
      </c>
      <c r="J451" s="13">
        <f ca="1">IFERROR(__xludf.DUMMYFUNCTION("GOOGLEFINANCE(A451,""volumeavg"")"),3205140)</f>
        <v>3205140</v>
      </c>
      <c r="K451" s="15">
        <f ca="1">IFERROR(__xludf.DUMMYFUNCTION("GOOGLEFINANCE(A451,""high52"")"),63.28)</f>
        <v>63.28</v>
      </c>
      <c r="L451" s="15">
        <f ca="1">IFERROR(__xludf.DUMMYFUNCTION("GOOGLEFINANCE(A451,""low52"")"),44.94)</f>
        <v>44.94</v>
      </c>
      <c r="M451" s="7">
        <f t="shared" ca="1" si="0"/>
        <v>45379.717931597224</v>
      </c>
    </row>
    <row r="452" spans="1:13">
      <c r="A452" s="4" t="s">
        <v>463</v>
      </c>
      <c r="B452" s="5" t="str">
        <f ca="1">IFERROR(__xludf.DUMMYFUNCTION("GoogleFinance(A452, ""name"")"),"Trane Technologies PLC")</f>
        <v>Trane Technologies PLC</v>
      </c>
      <c r="C452" s="15">
        <f ca="1">IFERROR(__xludf.DUMMYFUNCTION("GoogleFinance(A452, ""price"")"),300.2)</f>
        <v>300.2</v>
      </c>
      <c r="D452" s="6">
        <f ca="1">IFERROR(__xludf.DUMMYFUNCTION("GoogleFinance(A452, ""eps"")"),8.89)</f>
        <v>8.89</v>
      </c>
      <c r="E452" s="6">
        <f ca="1">IFERROR(__xludf.DUMMYFUNCTION("GOOGLEFINANCE(A452,""pe"")"),33.77)</f>
        <v>33.770000000000003</v>
      </c>
      <c r="F452" s="6">
        <f ca="1">IFERROR(__xludf.DUMMYFUNCTION("GoogleFinance(A452, ""beta"")"),1.08)</f>
        <v>1.08</v>
      </c>
      <c r="G452" s="13">
        <f ca="1">IFERROR(__xludf.DUMMYFUNCTION("GOOGLEFINANCE(A452,""shares"")"),227072000)</f>
        <v>227072000</v>
      </c>
      <c r="H452" s="10">
        <f ca="1">IFERROR(__xludf.DUMMYFUNCTION("GOOGLEFINANCE(A452,""marketcap"")"),68312584157)</f>
        <v>68312584157</v>
      </c>
      <c r="I452" s="13">
        <f ca="1">IFERROR(__xludf.DUMMYFUNCTION("GOOGLEFINANCE(A452,""volume"")"),753989)</f>
        <v>753989</v>
      </c>
      <c r="J452" s="13">
        <f ca="1">IFERROR(__xludf.DUMMYFUNCTION("GOOGLEFINANCE(A452,""volumeavg"")"),908981)</f>
        <v>908981</v>
      </c>
      <c r="K452" s="15">
        <f ca="1">IFERROR(__xludf.DUMMYFUNCTION("GOOGLEFINANCE(A452,""high52"")"),305)</f>
        <v>305</v>
      </c>
      <c r="L452" s="15">
        <f ca="1">IFERROR(__xludf.DUMMYFUNCTION("GOOGLEFINANCE(A452,""low52"")"),162.04)</f>
        <v>162.04</v>
      </c>
      <c r="M452" s="7">
        <f t="shared" ca="1" si="0"/>
        <v>45379.717931597224</v>
      </c>
    </row>
    <row r="453" spans="1:13">
      <c r="A453" s="4" t="s">
        <v>464</v>
      </c>
      <c r="B453" s="5" t="str">
        <f ca="1">IFERROR(__xludf.DUMMYFUNCTION("GoogleFinance(A453, ""name"")"),"TAKE-TWO INTERACTIVE SOFTWARE, INC Common Stock")</f>
        <v>TAKE-TWO INTERACTIVE SOFTWARE, INC Common Stock</v>
      </c>
      <c r="C453" s="15">
        <f ca="1">IFERROR(__xludf.DUMMYFUNCTION("GoogleFinance(A453, ""price"")"),148.49)</f>
        <v>148.49</v>
      </c>
      <c r="D453" s="6">
        <f ca="1">IFERROR(__xludf.DUMMYFUNCTION("GoogleFinance(A453, ""eps"")"),-8.59)</f>
        <v>-8.59</v>
      </c>
      <c r="E453" s="6" t="str">
        <f ca="1">IFERROR(__xludf.DUMMYFUNCTION("GOOGLEFINANCE(A453,""pe"")"),"#N/A")</f>
        <v>#N/A</v>
      </c>
      <c r="F453" s="6">
        <f ca="1">IFERROR(__xludf.DUMMYFUNCTION("GoogleFinance(A453, ""beta"")"),0.75)</f>
        <v>0.75</v>
      </c>
      <c r="G453" s="13">
        <f ca="1">IFERROR(__xludf.DUMMYFUNCTION("GOOGLEFINANCE(A453,""shares"")"),170586000)</f>
        <v>170586000</v>
      </c>
      <c r="H453" s="10">
        <f ca="1">IFERROR(__xludf.DUMMYFUNCTION("GOOGLEFINANCE(A453,""marketcap"")"),25330360624)</f>
        <v>25330360624</v>
      </c>
      <c r="I453" s="13">
        <f ca="1">IFERROR(__xludf.DUMMYFUNCTION("GOOGLEFINANCE(A453,""volume"")"),1656386)</f>
        <v>1656386</v>
      </c>
      <c r="J453" s="13">
        <f ca="1">IFERROR(__xludf.DUMMYFUNCTION("GOOGLEFINANCE(A453,""volumeavg"")"),1915555)</f>
        <v>1915555</v>
      </c>
      <c r="K453" s="15">
        <f ca="1">IFERROR(__xludf.DUMMYFUNCTION("GOOGLEFINANCE(A453,""high52"")"),171.59)</f>
        <v>171.59</v>
      </c>
      <c r="L453" s="15">
        <f ca="1">IFERROR(__xludf.DUMMYFUNCTION("GOOGLEFINANCE(A453,""low52"")"),115.3)</f>
        <v>115.3</v>
      </c>
      <c r="M453" s="7">
        <f t="shared" ca="1" si="0"/>
        <v>45379.717931597224</v>
      </c>
    </row>
    <row r="454" spans="1:13">
      <c r="A454" s="4" t="s">
        <v>465</v>
      </c>
      <c r="B454" s="5" t="str">
        <f ca="1">IFERROR(__xludf.DUMMYFUNCTION("GoogleFinance(A454, ""name"")"),"Texas Instruments Inc")</f>
        <v>Texas Instruments Inc</v>
      </c>
      <c r="C454" s="15">
        <f ca="1">IFERROR(__xludf.DUMMYFUNCTION("GoogleFinance(A454, ""price"")"),174.21)</f>
        <v>174.21</v>
      </c>
      <c r="D454" s="6">
        <f ca="1">IFERROR(__xludf.DUMMYFUNCTION("GoogleFinance(A454, ""eps"")"),7.07)</f>
        <v>7.07</v>
      </c>
      <c r="E454" s="6">
        <f ca="1">IFERROR(__xludf.DUMMYFUNCTION("GOOGLEFINANCE(A454,""pe"")"),24.64)</f>
        <v>24.64</v>
      </c>
      <c r="F454" s="6">
        <f ca="1">IFERROR(__xludf.DUMMYFUNCTION("GoogleFinance(A454, ""beta"")"),1.04)</f>
        <v>1.04</v>
      </c>
      <c r="G454" s="13">
        <f ca="1">IFERROR(__xludf.DUMMYFUNCTION("GOOGLEFINANCE(A454,""shares"")"),909288000)</f>
        <v>909288000</v>
      </c>
      <c r="H454" s="10">
        <f ca="1">IFERROR(__xludf.DUMMYFUNCTION("GOOGLEFINANCE(A454,""marketcap"")"),158407051163)</f>
        <v>158407051163</v>
      </c>
      <c r="I454" s="13">
        <f ca="1">IFERROR(__xludf.DUMMYFUNCTION("GOOGLEFINANCE(A454,""volume"")"),4417751)</f>
        <v>4417751</v>
      </c>
      <c r="J454" s="13">
        <f ca="1">IFERROR(__xludf.DUMMYFUNCTION("GOOGLEFINANCE(A454,""volumeavg"")"),5312473)</f>
        <v>5312473</v>
      </c>
      <c r="K454" s="15">
        <f ca="1">IFERROR(__xludf.DUMMYFUNCTION("GOOGLEFINANCE(A454,""high52"")"),188.12)</f>
        <v>188.12</v>
      </c>
      <c r="L454" s="15">
        <f ca="1">IFERROR(__xludf.DUMMYFUNCTION("GOOGLEFINANCE(A454,""low52"")"),139.48)</f>
        <v>139.47999999999999</v>
      </c>
      <c r="M454" s="7">
        <f t="shared" ca="1" si="0"/>
        <v>45379.717931597224</v>
      </c>
    </row>
    <row r="455" spans="1:13">
      <c r="A455" s="4" t="s">
        <v>466</v>
      </c>
      <c r="B455" s="5" t="str">
        <f ca="1">IFERROR(__xludf.DUMMYFUNCTION("GoogleFinance(A455, ""name"")"),"Textron Inc")</f>
        <v>Textron Inc</v>
      </c>
      <c r="C455" s="15">
        <f ca="1">IFERROR(__xludf.DUMMYFUNCTION("GoogleFinance(A455, ""price"")"),95.93)</f>
        <v>95.93</v>
      </c>
      <c r="D455" s="6">
        <f ca="1">IFERROR(__xludf.DUMMYFUNCTION("GoogleFinance(A455, ""eps"")"),4.57)</f>
        <v>4.57</v>
      </c>
      <c r="E455" s="6">
        <f ca="1">IFERROR(__xludf.DUMMYFUNCTION("GOOGLEFINANCE(A455,""pe"")"),20.99)</f>
        <v>20.99</v>
      </c>
      <c r="F455" s="6">
        <f ca="1">IFERROR(__xludf.DUMMYFUNCTION("GoogleFinance(A455, ""beta"")"),1.29)</f>
        <v>1.29</v>
      </c>
      <c r="G455" s="13">
        <f ca="1">IFERROR(__xludf.DUMMYFUNCTION("GOOGLEFINANCE(A455,""shares"")"),192387000)</f>
        <v>192387000</v>
      </c>
      <c r="H455" s="10">
        <f ca="1">IFERROR(__xludf.DUMMYFUNCTION("GOOGLEFINANCE(A455,""marketcap"")"),18455675375)</f>
        <v>18455675375</v>
      </c>
      <c r="I455" s="13">
        <f ca="1">IFERROR(__xludf.DUMMYFUNCTION("GOOGLEFINANCE(A455,""volume"")"),1438065)</f>
        <v>1438065</v>
      </c>
      <c r="J455" s="13">
        <f ca="1">IFERROR(__xludf.DUMMYFUNCTION("GOOGLEFINANCE(A455,""volumeavg"")"),1071789)</f>
        <v>1071789</v>
      </c>
      <c r="K455" s="15">
        <f ca="1">IFERROR(__xludf.DUMMYFUNCTION("GOOGLEFINANCE(A455,""high52"")"),96.8)</f>
        <v>96.8</v>
      </c>
      <c r="L455" s="15">
        <f ca="1">IFERROR(__xludf.DUMMYFUNCTION("GOOGLEFINANCE(A455,""low52"")"),61.27)</f>
        <v>61.27</v>
      </c>
      <c r="M455" s="7">
        <f t="shared" ca="1" si="0"/>
        <v>45379.717931597224</v>
      </c>
    </row>
    <row r="456" spans="1:13">
      <c r="A456" s="4" t="s">
        <v>467</v>
      </c>
      <c r="B456" s="5" t="str">
        <f ca="1">IFERROR(__xludf.DUMMYFUNCTION("GoogleFinance(A456, ""name"")"),"Tyler Technologies Inc")</f>
        <v>Tyler Technologies Inc</v>
      </c>
      <c r="C456" s="15">
        <f ca="1">IFERROR(__xludf.DUMMYFUNCTION("GoogleFinance(A456, ""price"")"),425.01)</f>
        <v>425.01</v>
      </c>
      <c r="D456" s="6">
        <f ca="1">IFERROR(__xludf.DUMMYFUNCTION("GoogleFinance(A456, ""eps"")"),3.88)</f>
        <v>3.88</v>
      </c>
      <c r="E456" s="6">
        <f ca="1">IFERROR(__xludf.DUMMYFUNCTION("GOOGLEFINANCE(A456,""pe"")"),109.56)</f>
        <v>109.56</v>
      </c>
      <c r="F456" s="6">
        <f ca="1">IFERROR(__xludf.DUMMYFUNCTION("GoogleFinance(A456, ""beta"")"),0.82)</f>
        <v>0.82</v>
      </c>
      <c r="G456" s="13">
        <f ca="1">IFERROR(__xludf.DUMMYFUNCTION("GOOGLEFINANCE(A456,""shares"")"),42276000)</f>
        <v>42276000</v>
      </c>
      <c r="H456" s="10">
        <f ca="1">IFERROR(__xludf.DUMMYFUNCTION("GOOGLEFINANCE(A456,""marketcap"")"),17967774174)</f>
        <v>17967774174</v>
      </c>
      <c r="I456" s="13">
        <f ca="1">IFERROR(__xludf.DUMMYFUNCTION("GOOGLEFINANCE(A456,""volume"")"),203222)</f>
        <v>203222</v>
      </c>
      <c r="J456" s="13">
        <f ca="1">IFERROR(__xludf.DUMMYFUNCTION("GOOGLEFINANCE(A456,""volumeavg"")"),218586)</f>
        <v>218586</v>
      </c>
      <c r="K456" s="15">
        <f ca="1">IFERROR(__xludf.DUMMYFUNCTION("GOOGLEFINANCE(A456,""high52"")"),454.74)</f>
        <v>454.74</v>
      </c>
      <c r="L456" s="15">
        <f ca="1">IFERROR(__xludf.DUMMYFUNCTION("GOOGLEFINANCE(A456,""low52"")"),333.09)</f>
        <v>333.09</v>
      </c>
      <c r="M456" s="7">
        <f t="shared" ca="1" si="0"/>
        <v>45379.717931597224</v>
      </c>
    </row>
    <row r="457" spans="1:13">
      <c r="A457" s="4" t="s">
        <v>468</v>
      </c>
      <c r="B457" s="5" t="str">
        <f ca="1">IFERROR(__xludf.DUMMYFUNCTION("GoogleFinance(A457, ""name"")"),"United Airlines Holdings Inc")</f>
        <v>United Airlines Holdings Inc</v>
      </c>
      <c r="C457" s="15">
        <f ca="1">IFERROR(__xludf.DUMMYFUNCTION("GoogleFinance(A457, ""price"")"),47.88)</f>
        <v>47.88</v>
      </c>
      <c r="D457" s="6">
        <f ca="1">IFERROR(__xludf.DUMMYFUNCTION("GoogleFinance(A457, ""eps"")"),7.89)</f>
        <v>7.89</v>
      </c>
      <c r="E457" s="6">
        <f ca="1">IFERROR(__xludf.DUMMYFUNCTION("GOOGLEFINANCE(A457,""pe"")"),6.07)</f>
        <v>6.07</v>
      </c>
      <c r="F457" s="6">
        <f ca="1">IFERROR(__xludf.DUMMYFUNCTION("GoogleFinance(A457, ""beta"")"),1.54)</f>
        <v>1.54</v>
      </c>
      <c r="G457" s="13">
        <f ca="1">IFERROR(__xludf.DUMMYFUNCTION("GOOGLEFINANCE(A457,""shares"")"),328026000)</f>
        <v>328026000</v>
      </c>
      <c r="H457" s="10">
        <f ca="1">IFERROR(__xludf.DUMMYFUNCTION("GOOGLEFINANCE(A457,""marketcap"")"),15705875654)</f>
        <v>15705875654</v>
      </c>
      <c r="I457" s="13">
        <f ca="1">IFERROR(__xludf.DUMMYFUNCTION("GOOGLEFINANCE(A457,""volume"")"),7587238)</f>
        <v>7587238</v>
      </c>
      <c r="J457" s="13">
        <f ca="1">IFERROR(__xludf.DUMMYFUNCTION("GOOGLEFINANCE(A457,""volumeavg"")"),7865350)</f>
        <v>7865350</v>
      </c>
      <c r="K457" s="15">
        <f ca="1">IFERROR(__xludf.DUMMYFUNCTION("GOOGLEFINANCE(A457,""high52"")"),58.23)</f>
        <v>58.23</v>
      </c>
      <c r="L457" s="15">
        <f ca="1">IFERROR(__xludf.DUMMYFUNCTION("GOOGLEFINANCE(A457,""low52"")"),33.68)</f>
        <v>33.68</v>
      </c>
      <c r="M457" s="7">
        <f t="shared" ca="1" si="0"/>
        <v>45379.717931597224</v>
      </c>
    </row>
    <row r="458" spans="1:13">
      <c r="A458" s="4" t="s">
        <v>469</v>
      </c>
      <c r="B458" s="5" t="str">
        <f ca="1">IFERROR(__xludf.DUMMYFUNCTION("GoogleFinance(A458, ""name"")"),"UDR Inc")</f>
        <v>UDR Inc</v>
      </c>
      <c r="C458" s="15">
        <f ca="1">IFERROR(__xludf.DUMMYFUNCTION("GoogleFinance(A458, ""price"")"),37.41)</f>
        <v>37.409999999999997</v>
      </c>
      <c r="D458" s="6">
        <f ca="1">IFERROR(__xludf.DUMMYFUNCTION("GoogleFinance(A458, ""eps"")"),1.34)</f>
        <v>1.34</v>
      </c>
      <c r="E458" s="6">
        <f ca="1">IFERROR(__xludf.DUMMYFUNCTION("GOOGLEFINANCE(A458,""pe"")"),28.01)</f>
        <v>28.01</v>
      </c>
      <c r="F458" s="6">
        <f ca="1">IFERROR(__xludf.DUMMYFUNCTION("GoogleFinance(A458, ""beta"")"),0.82)</f>
        <v>0.82</v>
      </c>
      <c r="G458" s="13">
        <f ca="1">IFERROR(__xludf.DUMMYFUNCTION("GOOGLEFINANCE(A458,""shares"")"),329224000)</f>
        <v>329224000</v>
      </c>
      <c r="H458" s="10">
        <f ca="1">IFERROR(__xludf.DUMMYFUNCTION("GOOGLEFINANCE(A458,""marketcap"")"),12316266048)</f>
        <v>12316266048</v>
      </c>
      <c r="I458" s="13">
        <f ca="1">IFERROR(__xludf.DUMMYFUNCTION("GOOGLEFINANCE(A458,""volume"")"),3007630)</f>
        <v>3007630</v>
      </c>
      <c r="J458" s="13">
        <f ca="1">IFERROR(__xludf.DUMMYFUNCTION("GOOGLEFINANCE(A458,""volumeavg"")"),2535117)</f>
        <v>2535117</v>
      </c>
      <c r="K458" s="15">
        <f ca="1">IFERROR(__xludf.DUMMYFUNCTION("GOOGLEFINANCE(A458,""high52"")"),44.02)</f>
        <v>44.02</v>
      </c>
      <c r="L458" s="15">
        <f ca="1">IFERROR(__xludf.DUMMYFUNCTION("GOOGLEFINANCE(A458,""low52"")"),30.95)</f>
        <v>30.95</v>
      </c>
      <c r="M458" s="7">
        <f t="shared" ca="1" si="0"/>
        <v>45379.717931597224</v>
      </c>
    </row>
    <row r="459" spans="1:13">
      <c r="A459" s="4" t="s">
        <v>470</v>
      </c>
      <c r="B459" s="5" t="str">
        <f ca="1">IFERROR(__xludf.DUMMYFUNCTION("GoogleFinance(A459, ""name"")"),"Universal Health Services, Inc.")</f>
        <v>Universal Health Services, Inc.</v>
      </c>
      <c r="C459" s="15">
        <f ca="1">IFERROR(__xludf.DUMMYFUNCTION("GoogleFinance(A459, ""price"")"),182.46)</f>
        <v>182.46</v>
      </c>
      <c r="D459" s="6">
        <f ca="1">IFERROR(__xludf.DUMMYFUNCTION("GoogleFinance(A459, ""eps"")"),10.23)</f>
        <v>10.23</v>
      </c>
      <c r="E459" s="6">
        <f ca="1">IFERROR(__xludf.DUMMYFUNCTION("GOOGLEFINANCE(A459,""pe"")"),17.83)</f>
        <v>17.829999999999998</v>
      </c>
      <c r="F459" s="6">
        <f ca="1">IFERROR(__xludf.DUMMYFUNCTION("GoogleFinance(A459, ""beta"")"),1.23)</f>
        <v>1.23</v>
      </c>
      <c r="G459" s="13">
        <f ca="1">IFERROR(__xludf.DUMMYFUNCTION("GOOGLEFINANCE(A459,""shares"")"),59970000)</f>
        <v>59970000</v>
      </c>
      <c r="H459" s="10">
        <f ca="1">IFERROR(__xludf.DUMMYFUNCTION("GOOGLEFINANCE(A459,""marketcap"")"),12265204323)</f>
        <v>12265204323</v>
      </c>
      <c r="I459" s="13">
        <f ca="1">IFERROR(__xludf.DUMMYFUNCTION("GOOGLEFINANCE(A459,""volume"")"),699083)</f>
        <v>699083</v>
      </c>
      <c r="J459" s="13">
        <f ca="1">IFERROR(__xludf.DUMMYFUNCTION("GOOGLEFINANCE(A459,""volumeavg"")"),607345)</f>
        <v>607345</v>
      </c>
      <c r="K459" s="15">
        <f ca="1">IFERROR(__xludf.DUMMYFUNCTION("GOOGLEFINANCE(A459,""high52"")"),183.61)</f>
        <v>183.61</v>
      </c>
      <c r="L459" s="15">
        <f ca="1">IFERROR(__xludf.DUMMYFUNCTION("GOOGLEFINANCE(A459,""low52"")"),119.9)</f>
        <v>119.9</v>
      </c>
      <c r="M459" s="7">
        <f t="shared" ca="1" si="0"/>
        <v>45379.717931597224</v>
      </c>
    </row>
    <row r="460" spans="1:13">
      <c r="A460" s="4" t="s">
        <v>471</v>
      </c>
      <c r="B460" s="5" t="str">
        <f ca="1">IFERROR(__xludf.DUMMYFUNCTION("GoogleFinance(A460, ""name"")"),"Ulta Beauty Inc")</f>
        <v>Ulta Beauty Inc</v>
      </c>
      <c r="C460" s="15">
        <f ca="1">IFERROR(__xludf.DUMMYFUNCTION("GoogleFinance(A460, ""price"")"),522.88)</f>
        <v>522.88</v>
      </c>
      <c r="D460" s="6">
        <f ca="1">IFERROR(__xludf.DUMMYFUNCTION("GoogleFinance(A460, ""eps"")"),26.03)</f>
        <v>26.03</v>
      </c>
      <c r="E460" s="6">
        <f ca="1">IFERROR(__xludf.DUMMYFUNCTION("GOOGLEFINANCE(A460,""pe"")"),20.09)</f>
        <v>20.09</v>
      </c>
      <c r="F460" s="6">
        <f ca="1">IFERROR(__xludf.DUMMYFUNCTION("GoogleFinance(A460, ""beta"")"),1.31)</f>
        <v>1.31</v>
      </c>
      <c r="G460" s="13">
        <f ca="1">IFERROR(__xludf.DUMMYFUNCTION("GOOGLEFINANCE(A460,""shares"")"),48269000)</f>
        <v>48269000</v>
      </c>
      <c r="H460" s="10">
        <f ca="1">IFERROR(__xludf.DUMMYFUNCTION("GOOGLEFINANCE(A460,""marketcap"")"),25391842585)</f>
        <v>25391842585</v>
      </c>
      <c r="I460" s="13">
        <f ca="1">IFERROR(__xludf.DUMMYFUNCTION("GOOGLEFINANCE(A460,""volume"")"),804544)</f>
        <v>804544</v>
      </c>
      <c r="J460" s="13">
        <f ca="1">IFERROR(__xludf.DUMMYFUNCTION("GOOGLEFINANCE(A460,""volumeavg"")"),746505)</f>
        <v>746505</v>
      </c>
      <c r="K460" s="15">
        <f ca="1">IFERROR(__xludf.DUMMYFUNCTION("GOOGLEFINANCE(A460,""high52"")"),574.76)</f>
        <v>574.76</v>
      </c>
      <c r="L460" s="15">
        <f ca="1">IFERROR(__xludf.DUMMYFUNCTION("GOOGLEFINANCE(A460,""low52"")"),368.02)</f>
        <v>368.02</v>
      </c>
      <c r="M460" s="7">
        <f t="shared" ca="1" si="0"/>
        <v>45379.717931597224</v>
      </c>
    </row>
    <row r="461" spans="1:13">
      <c r="A461" s="4" t="s">
        <v>472</v>
      </c>
      <c r="B461" s="5" t="str">
        <f ca="1">IFERROR(__xludf.DUMMYFUNCTION("GoogleFinance(A461, ""name"")"),"UnitedHealth Group Inc")</f>
        <v>UnitedHealth Group Inc</v>
      </c>
      <c r="C461" s="15">
        <f ca="1">IFERROR(__xludf.DUMMYFUNCTION("GoogleFinance(A461, ""price"")"),494.7)</f>
        <v>494.7</v>
      </c>
      <c r="D461" s="6">
        <f ca="1">IFERROR(__xludf.DUMMYFUNCTION("GoogleFinance(A461, ""eps"")"),23.86)</f>
        <v>23.86</v>
      </c>
      <c r="E461" s="6">
        <f ca="1">IFERROR(__xludf.DUMMYFUNCTION("GOOGLEFINANCE(A461,""pe"")"),20.73)</f>
        <v>20.73</v>
      </c>
      <c r="F461" s="6">
        <f ca="1">IFERROR(__xludf.DUMMYFUNCTION("GoogleFinance(A461, ""beta"")"),0.54)</f>
        <v>0.54</v>
      </c>
      <c r="G461" s="13">
        <f ca="1">IFERROR(__xludf.DUMMYFUNCTION("GOOGLEFINANCE(A461,""shares"")"),921934000)</f>
        <v>921934000</v>
      </c>
      <c r="H461" s="10">
        <f ca="1">IFERROR(__xludf.DUMMYFUNCTION("GOOGLEFINANCE(A461,""marketcap"")"),456080761054)</f>
        <v>456080761054</v>
      </c>
      <c r="I461" s="13">
        <f ca="1">IFERROR(__xludf.DUMMYFUNCTION("GOOGLEFINANCE(A461,""volume"")"),3819751)</f>
        <v>3819751</v>
      </c>
      <c r="J461" s="13">
        <f ca="1">IFERROR(__xludf.DUMMYFUNCTION("GOOGLEFINANCE(A461,""volumeavg"")"),3928866)</f>
        <v>3928866</v>
      </c>
      <c r="K461" s="15">
        <f ca="1">IFERROR(__xludf.DUMMYFUNCTION("GOOGLEFINANCE(A461,""high52"")"),554.7)</f>
        <v>554.70000000000005</v>
      </c>
      <c r="L461" s="15">
        <f ca="1">IFERROR(__xludf.DUMMYFUNCTION("GOOGLEFINANCE(A461,""low52"")"),445.68)</f>
        <v>445.68</v>
      </c>
      <c r="M461" s="7">
        <f t="shared" ca="1" si="0"/>
        <v>45379.717931597224</v>
      </c>
    </row>
    <row r="462" spans="1:13">
      <c r="A462" s="4" t="s">
        <v>473</v>
      </c>
      <c r="B462" s="5" t="str">
        <f ca="1">IFERROR(__xludf.DUMMYFUNCTION("GoogleFinance(A462, ""name"")"),"Union Pacific Corp")</f>
        <v>Union Pacific Corp</v>
      </c>
      <c r="C462" s="15">
        <f ca="1">IFERROR(__xludf.DUMMYFUNCTION("GoogleFinance(A462, ""price"")"),245.93)</f>
        <v>245.93</v>
      </c>
      <c r="D462" s="6">
        <f ca="1">IFERROR(__xludf.DUMMYFUNCTION("GoogleFinance(A462, ""eps"")"),10.45)</f>
        <v>10.45</v>
      </c>
      <c r="E462" s="6">
        <f ca="1">IFERROR(__xludf.DUMMYFUNCTION("GOOGLEFINANCE(A462,""pe"")"),23.53)</f>
        <v>23.53</v>
      </c>
      <c r="F462" s="6">
        <f ca="1">IFERROR(__xludf.DUMMYFUNCTION("GoogleFinance(A462, ""beta"")"),1.07)</f>
        <v>1.07</v>
      </c>
      <c r="G462" s="13">
        <f ca="1">IFERROR(__xludf.DUMMYFUNCTION("GOOGLEFINANCE(A462,""shares"")"),609778000)</f>
        <v>609778000</v>
      </c>
      <c r="H462" s="10">
        <f ca="1">IFERROR(__xludf.DUMMYFUNCTION("GOOGLEFINANCE(A462,""marketcap"")"),149962699073)</f>
        <v>149962699073</v>
      </c>
      <c r="I462" s="13">
        <f ca="1">IFERROR(__xludf.DUMMYFUNCTION("GOOGLEFINANCE(A462,""volume"")"),2265924)</f>
        <v>2265924</v>
      </c>
      <c r="J462" s="13">
        <f ca="1">IFERROR(__xludf.DUMMYFUNCTION("GOOGLEFINANCE(A462,""volumeavg"")"),2291904)</f>
        <v>2291904</v>
      </c>
      <c r="K462" s="15">
        <f ca="1">IFERROR(__xludf.DUMMYFUNCTION("GOOGLEFINANCE(A462,""high52"")"),258.66)</f>
        <v>258.66000000000003</v>
      </c>
      <c r="L462" s="15">
        <f ca="1">IFERROR(__xludf.DUMMYFUNCTION("GOOGLEFINANCE(A462,""low52"")"),190.37)</f>
        <v>190.37</v>
      </c>
      <c r="M462" s="7">
        <f t="shared" ca="1" si="0"/>
        <v>45379.717931597224</v>
      </c>
    </row>
    <row r="463" spans="1:13">
      <c r="A463" s="4" t="s">
        <v>474</v>
      </c>
      <c r="B463" s="5" t="str">
        <f ca="1">IFERROR(__xludf.DUMMYFUNCTION("GoogleFinance(A463, ""name"")"),"United Parcel Service, Inc.")</f>
        <v>United Parcel Service, Inc.</v>
      </c>
      <c r="C463" s="15">
        <f ca="1">IFERROR(__xludf.DUMMYFUNCTION("GoogleFinance(A463, ""price"")"),148.63)</f>
        <v>148.63</v>
      </c>
      <c r="D463" s="6">
        <f ca="1">IFERROR(__xludf.DUMMYFUNCTION("GoogleFinance(A463, ""eps"")"),7.8)</f>
        <v>7.8</v>
      </c>
      <c r="E463" s="6">
        <f ca="1">IFERROR(__xludf.DUMMYFUNCTION("GOOGLEFINANCE(A463,""pe"")"),19.06)</f>
        <v>19.059999999999999</v>
      </c>
      <c r="F463" s="6">
        <f ca="1">IFERROR(__xludf.DUMMYFUNCTION("GoogleFinance(A463, ""beta"")"),1.05)</f>
        <v>1.05</v>
      </c>
      <c r="G463" s="13">
        <f ca="1">IFERROR(__xludf.DUMMYFUNCTION("GOOGLEFINANCE(A463,""shares"")"),726817000)</f>
        <v>726817000</v>
      </c>
      <c r="H463" s="10">
        <f ca="1">IFERROR(__xludf.DUMMYFUNCTION("GOOGLEFINANCE(A463,""marketcap"")"),126801667297)</f>
        <v>126801667297</v>
      </c>
      <c r="I463" s="13">
        <f ca="1">IFERROR(__xludf.DUMMYFUNCTION("GOOGLEFINANCE(A463,""volume"")"),5196883)</f>
        <v>5196883</v>
      </c>
      <c r="J463" s="13">
        <f ca="1">IFERROR(__xludf.DUMMYFUNCTION("GOOGLEFINANCE(A463,""volumeavg"")"),4402117)</f>
        <v>4402117</v>
      </c>
      <c r="K463" s="15">
        <f ca="1">IFERROR(__xludf.DUMMYFUNCTION("GOOGLEFINANCE(A463,""high52"")"),197.8)</f>
        <v>197.8</v>
      </c>
      <c r="L463" s="15">
        <f ca="1">IFERROR(__xludf.DUMMYFUNCTION("GOOGLEFINANCE(A463,""low52"")"),133.68)</f>
        <v>133.68</v>
      </c>
      <c r="M463" s="7">
        <f t="shared" ca="1" si="0"/>
        <v>45379.717931597224</v>
      </c>
    </row>
    <row r="464" spans="1:13">
      <c r="A464" s="4" t="s">
        <v>475</v>
      </c>
      <c r="B464" s="5" t="str">
        <f ca="1">IFERROR(__xludf.DUMMYFUNCTION("GoogleFinance(A464, ""name"")"),"United Rentals, Inc.")</f>
        <v>United Rentals, Inc.</v>
      </c>
      <c r="C464" s="15">
        <f ca="1">IFERROR(__xludf.DUMMYFUNCTION("GoogleFinance(A464, ""price"")"),721.11)</f>
        <v>721.11</v>
      </c>
      <c r="D464" s="6">
        <f ca="1">IFERROR(__xludf.DUMMYFUNCTION("GoogleFinance(A464, ""eps"")"),35.28)</f>
        <v>35.28</v>
      </c>
      <c r="E464" s="6">
        <f ca="1">IFERROR(__xludf.DUMMYFUNCTION("GOOGLEFINANCE(A464,""pe"")"),20.44)</f>
        <v>20.440000000000001</v>
      </c>
      <c r="F464" s="6">
        <f ca="1">IFERROR(__xludf.DUMMYFUNCTION("GoogleFinance(A464, ""beta"")"),1.84)</f>
        <v>1.84</v>
      </c>
      <c r="G464" s="13">
        <f ca="1">IFERROR(__xludf.DUMMYFUNCTION("GOOGLEFINANCE(A464,""shares"")"),67192000)</f>
        <v>67192000</v>
      </c>
      <c r="H464" s="10">
        <f ca="1">IFERROR(__xludf.DUMMYFUNCTION("GOOGLEFINANCE(A464,""marketcap"")"),48452548113)</f>
        <v>48452548113</v>
      </c>
      <c r="I464" s="13">
        <f ca="1">IFERROR(__xludf.DUMMYFUNCTION("GOOGLEFINANCE(A464,""volume"")"),440207)</f>
        <v>440207</v>
      </c>
      <c r="J464" s="13">
        <f ca="1">IFERROR(__xludf.DUMMYFUNCTION("GOOGLEFINANCE(A464,""volumeavg"")"),511239)</f>
        <v>511239</v>
      </c>
      <c r="K464" s="15">
        <f ca="1">IFERROR(__xludf.DUMMYFUNCTION("GOOGLEFINANCE(A464,""high52"")"),732.37)</f>
        <v>732.37</v>
      </c>
      <c r="L464" s="15">
        <f ca="1">IFERROR(__xludf.DUMMYFUNCTION("GOOGLEFINANCE(A464,""low52"")"),325.15)</f>
        <v>325.14999999999998</v>
      </c>
      <c r="M464" s="7">
        <f t="shared" ca="1" si="0"/>
        <v>45379.717931597224</v>
      </c>
    </row>
    <row r="465" spans="1:13">
      <c r="A465" s="4" t="s">
        <v>476</v>
      </c>
      <c r="B465" s="5" t="str">
        <f ca="1">IFERROR(__xludf.DUMMYFUNCTION("GoogleFinance(A465, ""name"")"),"US Bancorp")</f>
        <v>US Bancorp</v>
      </c>
      <c r="C465" s="15">
        <f ca="1">IFERROR(__xludf.DUMMYFUNCTION("GoogleFinance(A465, ""price"")"),44.7)</f>
        <v>44.7</v>
      </c>
      <c r="D465" s="6">
        <f ca="1">IFERROR(__xludf.DUMMYFUNCTION("GoogleFinance(A465, ""eps"")"),3.27)</f>
        <v>3.27</v>
      </c>
      <c r="E465" s="6">
        <f ca="1">IFERROR(__xludf.DUMMYFUNCTION("GOOGLEFINANCE(A465,""pe"")"),13.66)</f>
        <v>13.66</v>
      </c>
      <c r="F465" s="6">
        <f ca="1">IFERROR(__xludf.DUMMYFUNCTION("GoogleFinance(A465, ""beta"")"),1.04)</f>
        <v>1.04</v>
      </c>
      <c r="G465" s="13">
        <f ca="1">IFERROR(__xludf.DUMMYFUNCTION("GOOGLEFINANCE(A465,""shares"")"),1558312000)</f>
        <v>1558312000</v>
      </c>
      <c r="H465" s="10">
        <f ca="1">IFERROR(__xludf.DUMMYFUNCTION("GOOGLEFINANCE(A465,""marketcap"")"),69648546288)</f>
        <v>69648546288</v>
      </c>
      <c r="I465" s="13">
        <f ca="1">IFERROR(__xludf.DUMMYFUNCTION("GOOGLEFINANCE(A465,""volume"")"),7595162)</f>
        <v>7595162</v>
      </c>
      <c r="J465" s="13">
        <f ca="1">IFERROR(__xludf.DUMMYFUNCTION("GOOGLEFINANCE(A465,""volumeavg"")"),8358788)</f>
        <v>8358788</v>
      </c>
      <c r="K465" s="15">
        <f ca="1">IFERROR(__xludf.DUMMYFUNCTION("GOOGLEFINANCE(A465,""high52"")"),45.85)</f>
        <v>45.85</v>
      </c>
      <c r="L465" s="15">
        <f ca="1">IFERROR(__xludf.DUMMYFUNCTION("GOOGLEFINANCE(A465,""low52"")"),27.27)</f>
        <v>27.27</v>
      </c>
      <c r="M465" s="7">
        <f t="shared" ca="1" si="0"/>
        <v>45379.717931597224</v>
      </c>
    </row>
    <row r="466" spans="1:13">
      <c r="A466" s="4" t="s">
        <v>477</v>
      </c>
      <c r="B466" s="5" t="str">
        <f ca="1">IFERROR(__xludf.DUMMYFUNCTION("GoogleFinance(A466, ""name"")"),"Visa Inc")</f>
        <v>Visa Inc</v>
      </c>
      <c r="C466" s="15">
        <f ca="1">IFERROR(__xludf.DUMMYFUNCTION("GoogleFinance(A466, ""price"")"),279.08)</f>
        <v>279.08</v>
      </c>
      <c r="D466" s="6">
        <f ca="1">IFERROR(__xludf.DUMMYFUNCTION("GoogleFinance(A466, ""eps"")"),7.89)</f>
        <v>7.89</v>
      </c>
      <c r="E466" s="6">
        <f ca="1">IFERROR(__xludf.DUMMYFUNCTION("GOOGLEFINANCE(A466,""pe"")"),35.37)</f>
        <v>35.369999999999997</v>
      </c>
      <c r="F466" s="6">
        <f ca="1">IFERROR(__xludf.DUMMYFUNCTION("GoogleFinance(A466, ""beta"")"),0.96)</f>
        <v>0.96</v>
      </c>
      <c r="G466" s="13">
        <f ca="1">IFERROR(__xludf.DUMMYFUNCTION("GOOGLEFINANCE(A466,""shares"")"),1581590000)</f>
        <v>1581590000</v>
      </c>
      <c r="H466" s="10">
        <f ca="1">IFERROR(__xludf.DUMMYFUNCTION("GOOGLEFINANCE(A466,""marketcap"")"),560662483384)</f>
        <v>560662483384</v>
      </c>
      <c r="I466" s="13">
        <f ca="1">IFERROR(__xludf.DUMMYFUNCTION("GOOGLEFINANCE(A466,""volume"")"),5844317)</f>
        <v>5844317</v>
      </c>
      <c r="J466" s="13">
        <f ca="1">IFERROR(__xludf.DUMMYFUNCTION("GOOGLEFINANCE(A466,""volumeavg"")"),5760932)</f>
        <v>5760932</v>
      </c>
      <c r="K466" s="15">
        <f ca="1">IFERROR(__xludf.DUMMYFUNCTION("GOOGLEFINANCE(A466,""high52"")"),290.96)</f>
        <v>290.95999999999998</v>
      </c>
      <c r="L466" s="15">
        <f ca="1">IFERROR(__xludf.DUMMYFUNCTION("GOOGLEFINANCE(A466,""low52"")"),216.14)</f>
        <v>216.14</v>
      </c>
      <c r="M466" s="7">
        <f t="shared" ca="1" si="0"/>
        <v>45379.717931597224</v>
      </c>
    </row>
    <row r="467" spans="1:13">
      <c r="A467" s="4" t="s">
        <v>478</v>
      </c>
      <c r="B467" s="5" t="str">
        <f ca="1">IFERROR(__xludf.DUMMYFUNCTION("GoogleFinance(A467, ""name"")"),"VF Corp")</f>
        <v>VF Corp</v>
      </c>
      <c r="C467" s="15">
        <f ca="1">IFERROR(__xludf.DUMMYFUNCTION("GoogleFinance(A467, ""price"")"),15.34)</f>
        <v>15.34</v>
      </c>
      <c r="D467" s="6">
        <f ca="1">IFERROR(__xludf.DUMMYFUNCTION("GoogleFinance(A467, ""eps"")"),-1.97)</f>
        <v>-1.97</v>
      </c>
      <c r="E467" s="6" t="str">
        <f ca="1">IFERROR(__xludf.DUMMYFUNCTION("GOOGLEFINANCE(A467,""pe"")"),"#N/A")</f>
        <v>#N/A</v>
      </c>
      <c r="F467" s="6">
        <f ca="1">IFERROR(__xludf.DUMMYFUNCTION("GoogleFinance(A467, ""beta"")"),1.48)</f>
        <v>1.48</v>
      </c>
      <c r="G467" s="13">
        <f ca="1">IFERROR(__xludf.DUMMYFUNCTION("GOOGLEFINANCE(A467,""shares"")"),388816000)</f>
        <v>388816000</v>
      </c>
      <c r="H467" s="10">
        <f ca="1">IFERROR(__xludf.DUMMYFUNCTION("GOOGLEFINANCE(A467,""marketcap"")"),5964435965)</f>
        <v>5964435965</v>
      </c>
      <c r="I467" s="13">
        <f ca="1">IFERROR(__xludf.DUMMYFUNCTION("GOOGLEFINANCE(A467,""volume"")"),9844418)</f>
        <v>9844418</v>
      </c>
      <c r="J467" s="13">
        <f ca="1">IFERROR(__xludf.DUMMYFUNCTION("GOOGLEFINANCE(A467,""volumeavg"")"),8429492)</f>
        <v>8429492</v>
      </c>
      <c r="K467" s="15">
        <f ca="1">IFERROR(__xludf.DUMMYFUNCTION("GOOGLEFINANCE(A467,""high52"")"),23.58)</f>
        <v>23.58</v>
      </c>
      <c r="L467" s="15">
        <f ca="1">IFERROR(__xludf.DUMMYFUNCTION("GOOGLEFINANCE(A467,""low52"")"),12.85)</f>
        <v>12.85</v>
      </c>
      <c r="M467" s="7">
        <f t="shared" ca="1" si="0"/>
        <v>45379.717931597224</v>
      </c>
    </row>
    <row r="468" spans="1:13">
      <c r="A468" s="4" t="s">
        <v>479</v>
      </c>
      <c r="B468" s="5" t="str">
        <f ca="1">IFERROR(__xludf.DUMMYFUNCTION("GoogleFinance(A468, ""name"")"),"VICI Properties Inc")</f>
        <v>VICI Properties Inc</v>
      </c>
      <c r="C468" s="15">
        <f ca="1">IFERROR(__xludf.DUMMYFUNCTION("GoogleFinance(A468, ""price"")"),29.79)</f>
        <v>29.79</v>
      </c>
      <c r="D468" s="6">
        <f ca="1">IFERROR(__xludf.DUMMYFUNCTION("GoogleFinance(A468, ""eps"")"),2.47)</f>
        <v>2.4700000000000002</v>
      </c>
      <c r="E468" s="6">
        <f ca="1">IFERROR(__xludf.DUMMYFUNCTION("GOOGLEFINANCE(A468,""pe"")"),12.04)</f>
        <v>12.04</v>
      </c>
      <c r="F468" s="6">
        <f ca="1">IFERROR(__xludf.DUMMYFUNCTION("GoogleFinance(A468, ""beta"")"),0.89)</f>
        <v>0.89</v>
      </c>
      <c r="G468" s="13">
        <f ca="1">IFERROR(__xludf.DUMMYFUNCTION("GOOGLEFINANCE(A468,""shares"")"),1042680000)</f>
        <v>1042680000</v>
      </c>
      <c r="H468" s="10">
        <f ca="1">IFERROR(__xludf.DUMMYFUNCTION("GOOGLEFINANCE(A468,""marketcap"")"),31075052185)</f>
        <v>31075052185</v>
      </c>
      <c r="I468" s="13">
        <f ca="1">IFERROR(__xludf.DUMMYFUNCTION("GOOGLEFINANCE(A468,""volume"")"),7191860)</f>
        <v>7191860</v>
      </c>
      <c r="J468" s="13">
        <f ca="1">IFERROR(__xludf.DUMMYFUNCTION("GOOGLEFINANCE(A468,""volumeavg"")"),6529456)</f>
        <v>6529456</v>
      </c>
      <c r="K468" s="15">
        <f ca="1">IFERROR(__xludf.DUMMYFUNCTION("GOOGLEFINANCE(A468,""high52"")"),34.05)</f>
        <v>34.049999999999997</v>
      </c>
      <c r="L468" s="15">
        <f ca="1">IFERROR(__xludf.DUMMYFUNCTION("GOOGLEFINANCE(A468,""low52"")"),26.63)</f>
        <v>26.63</v>
      </c>
      <c r="M468" s="7">
        <f t="shared" ca="1" si="0"/>
        <v>45379.717931597224</v>
      </c>
    </row>
    <row r="469" spans="1:13">
      <c r="A469" s="4" t="s">
        <v>480</v>
      </c>
      <c r="B469" s="5" t="str">
        <f ca="1">IFERROR(__xludf.DUMMYFUNCTION("GoogleFinance(A469, ""name"")"),"Valero Energy Corporation")</f>
        <v>Valero Energy Corporation</v>
      </c>
      <c r="C469" s="15">
        <f ca="1">IFERROR(__xludf.DUMMYFUNCTION("GoogleFinance(A469, ""price"")"),170.69)</f>
        <v>170.69</v>
      </c>
      <c r="D469" s="6">
        <f ca="1">IFERROR(__xludf.DUMMYFUNCTION("GoogleFinance(A469, ""eps"")"),24.95)</f>
        <v>24.95</v>
      </c>
      <c r="E469" s="6">
        <f ca="1">IFERROR(__xludf.DUMMYFUNCTION("GOOGLEFINANCE(A469,""pe"")"),6.84)</f>
        <v>6.84</v>
      </c>
      <c r="F469" s="6">
        <f ca="1">IFERROR(__xludf.DUMMYFUNCTION("GoogleFinance(A469, ""beta"")"),1.53)</f>
        <v>1.53</v>
      </c>
      <c r="G469" s="13">
        <f ca="1">IFERROR(__xludf.DUMMYFUNCTION("GOOGLEFINANCE(A469,""shares"")"),332482000)</f>
        <v>332482000</v>
      </c>
      <c r="H469" s="10">
        <f ca="1">IFERROR(__xludf.DUMMYFUNCTION("GOOGLEFINANCE(A469,""marketcap"")"),56234504064)</f>
        <v>56234504064</v>
      </c>
      <c r="I469" s="13">
        <f ca="1">IFERROR(__xludf.DUMMYFUNCTION("GOOGLEFINANCE(A469,""volume"")"),3325987)</f>
        <v>3325987</v>
      </c>
      <c r="J469" s="13">
        <f ca="1">IFERROR(__xludf.DUMMYFUNCTION("GOOGLEFINANCE(A469,""volumeavg"")"),3558210)</f>
        <v>3558210</v>
      </c>
      <c r="K469" s="15">
        <f ca="1">IFERROR(__xludf.DUMMYFUNCTION("GOOGLEFINANCE(A469,""high52"")"),172.46)</f>
        <v>172.46</v>
      </c>
      <c r="L469" s="15">
        <f ca="1">IFERROR(__xludf.DUMMYFUNCTION("GOOGLEFINANCE(A469,""low52"")"),104.18)</f>
        <v>104.18</v>
      </c>
      <c r="M469" s="7">
        <f t="shared" ca="1" si="0"/>
        <v>45379.717931597224</v>
      </c>
    </row>
    <row r="470" spans="1:13">
      <c r="A470" s="4" t="s">
        <v>481</v>
      </c>
      <c r="B470" s="5" t="str">
        <f ca="1">IFERROR(__xludf.DUMMYFUNCTION("GoogleFinance(A470, ""name"")"),"Veralto Corp")</f>
        <v>Veralto Corp</v>
      </c>
      <c r="C470" s="15">
        <f ca="1">IFERROR(__xludf.DUMMYFUNCTION("GoogleFinance(A470, ""price"")"),88.66)</f>
        <v>88.66</v>
      </c>
      <c r="D470" s="6">
        <f ca="1">IFERROR(__xludf.DUMMYFUNCTION("GoogleFinance(A470, ""eps"")"),3.4)</f>
        <v>3.4</v>
      </c>
      <c r="E470" s="6">
        <f ca="1">IFERROR(__xludf.DUMMYFUNCTION("GOOGLEFINANCE(A470,""pe"")"),26.08)</f>
        <v>26.08</v>
      </c>
      <c r="F470" s="6" t="str">
        <f ca="1">IFERROR(__xludf.DUMMYFUNCTION("GoogleFinance(A470, ""beta"")"),"#N/A")</f>
        <v>#N/A</v>
      </c>
      <c r="G470" s="13">
        <f ca="1">IFERROR(__xludf.DUMMYFUNCTION("GOOGLEFINANCE(A470,""shares"")"),246542000)</f>
        <v>246542000</v>
      </c>
      <c r="H470" s="10">
        <f ca="1">IFERROR(__xludf.DUMMYFUNCTION("GOOGLEFINANCE(A470,""marketcap"")"),21858396890)</f>
        <v>21858396890</v>
      </c>
      <c r="I470" s="13">
        <f ca="1">IFERROR(__xludf.DUMMYFUNCTION("GOOGLEFINANCE(A470,""volume"")"),1546473)</f>
        <v>1546473</v>
      </c>
      <c r="J470" s="13">
        <f ca="1">IFERROR(__xludf.DUMMYFUNCTION("GOOGLEFINANCE(A470,""volumeavg"")"),1546788)</f>
        <v>1546788</v>
      </c>
      <c r="K470" s="15">
        <f ca="1">IFERROR(__xludf.DUMMYFUNCTION("GOOGLEFINANCE(A470,""high52"")"),90.69)</f>
        <v>90.69</v>
      </c>
      <c r="L470" s="15">
        <f ca="1">IFERROR(__xludf.DUMMYFUNCTION("GOOGLEFINANCE(A470,""low52"")"),65.51)</f>
        <v>65.510000000000005</v>
      </c>
      <c r="M470" s="7">
        <f t="shared" ca="1" si="0"/>
        <v>45379.717931597224</v>
      </c>
    </row>
    <row r="471" spans="1:13">
      <c r="A471" s="4" t="s">
        <v>482</v>
      </c>
      <c r="B471" s="5" t="str">
        <f ca="1">IFERROR(__xludf.DUMMYFUNCTION("GoogleFinance(A471, ""name"")"),"Vulcan Materials Company")</f>
        <v>Vulcan Materials Company</v>
      </c>
      <c r="C471" s="15">
        <f ca="1">IFERROR(__xludf.DUMMYFUNCTION("GoogleFinance(A471, ""price"")"),272.92)</f>
        <v>272.92</v>
      </c>
      <c r="D471" s="6">
        <f ca="1">IFERROR(__xludf.DUMMYFUNCTION("GoogleFinance(A471, ""eps"")"),7.06)</f>
        <v>7.06</v>
      </c>
      <c r="E471" s="6">
        <f ca="1">IFERROR(__xludf.DUMMYFUNCTION("GOOGLEFINANCE(A471,""pe"")"),38.65)</f>
        <v>38.65</v>
      </c>
      <c r="F471" s="6">
        <f ca="1">IFERROR(__xludf.DUMMYFUNCTION("GoogleFinance(A471, ""beta"")"),0.83)</f>
        <v>0.83</v>
      </c>
      <c r="G471" s="13">
        <f ca="1">IFERROR(__xludf.DUMMYFUNCTION("GOOGLEFINANCE(A471,""shares"")"),132227000)</f>
        <v>132227000</v>
      </c>
      <c r="H471" s="10">
        <f ca="1">IFERROR(__xludf.DUMMYFUNCTION("GOOGLEFINANCE(A471,""marketcap"")"),36099566848)</f>
        <v>36099566848</v>
      </c>
      <c r="I471" s="13">
        <f ca="1">IFERROR(__xludf.DUMMYFUNCTION("GOOGLEFINANCE(A471,""volume"")"),682980)</f>
        <v>682980</v>
      </c>
      <c r="J471" s="13">
        <f ca="1">IFERROR(__xludf.DUMMYFUNCTION("GOOGLEFINANCE(A471,""volumeavg"")"),927124)</f>
        <v>927124</v>
      </c>
      <c r="K471" s="15">
        <f ca="1">IFERROR(__xludf.DUMMYFUNCTION("GOOGLEFINANCE(A471,""high52"")"),276.58)</f>
        <v>276.58</v>
      </c>
      <c r="L471" s="15">
        <f ca="1">IFERROR(__xludf.DUMMYFUNCTION("GOOGLEFINANCE(A471,""low52"")"),162)</f>
        <v>162</v>
      </c>
      <c r="M471" s="7">
        <f t="shared" ca="1" si="0"/>
        <v>45379.717931597224</v>
      </c>
    </row>
    <row r="472" spans="1:13">
      <c r="A472" s="4" t="s">
        <v>483</v>
      </c>
      <c r="B472" s="5" t="str">
        <f ca="1">IFERROR(__xludf.DUMMYFUNCTION("GoogleFinance(A472, ""name"")"),"Verisk Analytics, Inc.")</f>
        <v>Verisk Analytics, Inc.</v>
      </c>
      <c r="C472" s="15">
        <f ca="1">IFERROR(__xludf.DUMMYFUNCTION("GoogleFinance(A472, ""price"")"),235.73)</f>
        <v>235.73</v>
      </c>
      <c r="D472" s="6">
        <f ca="1">IFERROR(__xludf.DUMMYFUNCTION("GoogleFinance(A472, ""eps"")"),5.22)</f>
        <v>5.22</v>
      </c>
      <c r="E472" s="6">
        <f ca="1">IFERROR(__xludf.DUMMYFUNCTION("GOOGLEFINANCE(A472,""pe"")"),45.19)</f>
        <v>45.19</v>
      </c>
      <c r="F472" s="6">
        <f ca="1">IFERROR(__xludf.DUMMYFUNCTION("GoogleFinance(A472, ""beta"")"),0.78)</f>
        <v>0.78</v>
      </c>
      <c r="G472" s="13">
        <f ca="1">IFERROR(__xludf.DUMMYFUNCTION("GOOGLEFINANCE(A472,""shares"")"),143390000)</f>
        <v>143390000</v>
      </c>
      <c r="H472" s="10">
        <f ca="1">IFERROR(__xludf.DUMMYFUNCTION("GOOGLEFINANCE(A472,""marketcap"")"),33801300514)</f>
        <v>33801300514</v>
      </c>
      <c r="I472" s="13">
        <f ca="1">IFERROR(__xludf.DUMMYFUNCTION("GOOGLEFINANCE(A472,""volume"")"),1218624)</f>
        <v>1218624</v>
      </c>
      <c r="J472" s="13">
        <f ca="1">IFERROR(__xludf.DUMMYFUNCTION("GOOGLEFINANCE(A472,""volumeavg"")"),987648)</f>
        <v>987648</v>
      </c>
      <c r="K472" s="15">
        <f ca="1">IFERROR(__xludf.DUMMYFUNCTION("GOOGLEFINANCE(A472,""high52"")"),251.98)</f>
        <v>251.98</v>
      </c>
      <c r="L472" s="15">
        <f ca="1">IFERROR(__xludf.DUMMYFUNCTION("GOOGLEFINANCE(A472,""low52"")"),186.96)</f>
        <v>186.96</v>
      </c>
      <c r="M472" s="7">
        <f t="shared" ca="1" si="0"/>
        <v>45379.717931597224</v>
      </c>
    </row>
    <row r="473" spans="1:13">
      <c r="A473" s="4" t="s">
        <v>484</v>
      </c>
      <c r="B473" s="5" t="str">
        <f ca="1">IFERROR(__xludf.DUMMYFUNCTION("GoogleFinance(A473, ""name"")"),"VeriSign, Inc")</f>
        <v>VeriSign, Inc</v>
      </c>
      <c r="C473" s="15">
        <f ca="1">IFERROR(__xludf.DUMMYFUNCTION("GoogleFinance(A473, ""price"")"),189.51)</f>
        <v>189.51</v>
      </c>
      <c r="D473" s="6">
        <f ca="1">IFERROR(__xludf.DUMMYFUNCTION("GoogleFinance(A473, ""eps"")"),7.9)</f>
        <v>7.9</v>
      </c>
      <c r="E473" s="6">
        <f ca="1">IFERROR(__xludf.DUMMYFUNCTION("GOOGLEFINANCE(A473,""pe"")"),23.99)</f>
        <v>23.99</v>
      </c>
      <c r="F473" s="6">
        <f ca="1">IFERROR(__xludf.DUMMYFUNCTION("GoogleFinance(A473, ""beta"")"),0.88)</f>
        <v>0.88</v>
      </c>
      <c r="G473" s="13">
        <f ca="1">IFERROR(__xludf.DUMMYFUNCTION("GOOGLEFINANCE(A473,""shares"")"),100900000)</f>
        <v>100900000</v>
      </c>
      <c r="H473" s="10">
        <f ca="1">IFERROR(__xludf.DUMMYFUNCTION("GOOGLEFINANCE(A473,""marketcap"")"),19121558445)</f>
        <v>19121558445</v>
      </c>
      <c r="I473" s="13">
        <f ca="1">IFERROR(__xludf.DUMMYFUNCTION("GOOGLEFINANCE(A473,""volume"")"),618096)</f>
        <v>618096</v>
      </c>
      <c r="J473" s="13">
        <f ca="1">IFERROR(__xludf.DUMMYFUNCTION("GOOGLEFINANCE(A473,""volumeavg"")"),568868)</f>
        <v>568868</v>
      </c>
      <c r="K473" s="15">
        <f ca="1">IFERROR(__xludf.DUMMYFUNCTION("GOOGLEFINANCE(A473,""high52"")"),229.72)</f>
        <v>229.72</v>
      </c>
      <c r="L473" s="15">
        <f ca="1">IFERROR(__xludf.DUMMYFUNCTION("GOOGLEFINANCE(A473,""low52"")"),185.19)</f>
        <v>185.19</v>
      </c>
      <c r="M473" s="7">
        <f t="shared" ca="1" si="0"/>
        <v>45379.717931597224</v>
      </c>
    </row>
    <row r="474" spans="1:13">
      <c r="A474" s="4" t="s">
        <v>485</v>
      </c>
      <c r="B474" s="5" t="str">
        <f ca="1">IFERROR(__xludf.DUMMYFUNCTION("GoogleFinance(A474, ""name"")"),"Vertex Pharmaceuticals Incorporated")</f>
        <v>Vertex Pharmaceuticals Incorporated</v>
      </c>
      <c r="C474" s="15">
        <f ca="1">IFERROR(__xludf.DUMMYFUNCTION("GoogleFinance(A474, ""price"")"),418.01)</f>
        <v>418.01</v>
      </c>
      <c r="D474" s="6">
        <f ca="1">IFERROR(__xludf.DUMMYFUNCTION("GoogleFinance(A474, ""eps"")"),13.89)</f>
        <v>13.89</v>
      </c>
      <c r="E474" s="6">
        <f ca="1">IFERROR(__xludf.DUMMYFUNCTION("GOOGLEFINANCE(A474,""pe"")"),30.08)</f>
        <v>30.08</v>
      </c>
      <c r="F474" s="6">
        <f ca="1">IFERROR(__xludf.DUMMYFUNCTION("GoogleFinance(A474, ""beta"")"),0.35)</f>
        <v>0.35</v>
      </c>
      <c r="G474" s="13">
        <f ca="1">IFERROR(__xludf.DUMMYFUNCTION("GOOGLEFINANCE(A474,""shares"")"),258308000)</f>
        <v>258308000</v>
      </c>
      <c r="H474" s="10">
        <f ca="1">IFERROR(__xludf.DUMMYFUNCTION("GOOGLEFINANCE(A474,""marketcap"")"),107975204199)</f>
        <v>107975204199</v>
      </c>
      <c r="I474" s="13">
        <f ca="1">IFERROR(__xludf.DUMMYFUNCTION("GOOGLEFINANCE(A474,""volume"")"),1092051)</f>
        <v>1092051</v>
      </c>
      <c r="J474" s="13">
        <f ca="1">IFERROR(__xludf.DUMMYFUNCTION("GOOGLEFINANCE(A474,""volumeavg"")"),1030138)</f>
        <v>1030138</v>
      </c>
      <c r="K474" s="15">
        <f ca="1">IFERROR(__xludf.DUMMYFUNCTION("GOOGLEFINANCE(A474,""high52"")"),448.4)</f>
        <v>448.4</v>
      </c>
      <c r="L474" s="15">
        <f ca="1">IFERROR(__xludf.DUMMYFUNCTION("GOOGLEFINANCE(A474,""low52"")"),310.9)</f>
        <v>310.89999999999998</v>
      </c>
      <c r="M474" s="7">
        <f t="shared" ca="1" si="0"/>
        <v>45379.717931597224</v>
      </c>
    </row>
    <row r="475" spans="1:13">
      <c r="A475" s="4" t="s">
        <v>486</v>
      </c>
      <c r="B475" s="5" t="str">
        <f ca="1">IFERROR(__xludf.DUMMYFUNCTION("GoogleFinance(A475, ""name"")"),"Ventas Inc")</f>
        <v>Ventas Inc</v>
      </c>
      <c r="C475" s="15">
        <f ca="1">IFERROR(__xludf.DUMMYFUNCTION("GoogleFinance(A475, ""price"")"),43.54)</f>
        <v>43.54</v>
      </c>
      <c r="D475" s="6">
        <f ca="1">IFERROR(__xludf.DUMMYFUNCTION("GoogleFinance(A475, ""eps"")"),-0.1)</f>
        <v>-0.1</v>
      </c>
      <c r="E475" s="6" t="str">
        <f ca="1">IFERROR(__xludf.DUMMYFUNCTION("GOOGLEFINANCE(A475,""pe"")"),"#N/A")</f>
        <v>#N/A</v>
      </c>
      <c r="F475" s="6">
        <f ca="1">IFERROR(__xludf.DUMMYFUNCTION("GoogleFinance(A475, ""beta"")"),1.23)</f>
        <v>1.23</v>
      </c>
      <c r="G475" s="13">
        <f ca="1">IFERROR(__xludf.DUMMYFUNCTION("GOOGLEFINANCE(A475,""shares"")"),402462000)</f>
        <v>402462000</v>
      </c>
      <c r="H475" s="10">
        <f ca="1">IFERROR(__xludf.DUMMYFUNCTION("GOOGLEFINANCE(A475,""marketcap"")"),17523178432)</f>
        <v>17523178432</v>
      </c>
      <c r="I475" s="13">
        <f ca="1">IFERROR(__xludf.DUMMYFUNCTION("GOOGLEFINANCE(A475,""volume"")"),3012275)</f>
        <v>3012275</v>
      </c>
      <c r="J475" s="13">
        <f ca="1">IFERROR(__xludf.DUMMYFUNCTION("GOOGLEFINANCE(A475,""volumeavg"")"),2852230)</f>
        <v>2852230</v>
      </c>
      <c r="K475" s="15">
        <f ca="1">IFERROR(__xludf.DUMMYFUNCTION("GOOGLEFINANCE(A475,""high52"")"),50.99)</f>
        <v>50.99</v>
      </c>
      <c r="L475" s="15">
        <f ca="1">IFERROR(__xludf.DUMMYFUNCTION("GOOGLEFINANCE(A475,""low52"")"),39.33)</f>
        <v>39.33</v>
      </c>
      <c r="M475" s="7">
        <f t="shared" ca="1" si="0"/>
        <v>45379.717931597224</v>
      </c>
    </row>
    <row r="476" spans="1:13">
      <c r="A476" s="4" t="s">
        <v>487</v>
      </c>
      <c r="B476" s="5" t="str">
        <f ca="1">IFERROR(__xludf.DUMMYFUNCTION("GoogleFinance(A476, ""name"")"),"Viatris Inc")</f>
        <v>Viatris Inc</v>
      </c>
      <c r="C476" s="15">
        <f ca="1">IFERROR(__xludf.DUMMYFUNCTION("GoogleFinance(A476, ""price"")"),11.94)</f>
        <v>11.94</v>
      </c>
      <c r="D476" s="6">
        <f ca="1">IFERROR(__xludf.DUMMYFUNCTION("GoogleFinance(A476, ""eps"")"),0.05)</f>
        <v>0.05</v>
      </c>
      <c r="E476" s="6">
        <f ca="1">IFERROR(__xludf.DUMMYFUNCTION("GOOGLEFINANCE(A476,""pe"")"),263.46)</f>
        <v>263.45999999999998</v>
      </c>
      <c r="F476" s="6">
        <f ca="1">IFERROR(__xludf.DUMMYFUNCTION("GoogleFinance(A476, ""beta"")"),0.84)</f>
        <v>0.84</v>
      </c>
      <c r="G476" s="13">
        <f ca="1">IFERROR(__xludf.DUMMYFUNCTION("GOOGLEFINANCE(A476,""shares"")"),1187569000)</f>
        <v>1187569000</v>
      </c>
      <c r="H476" s="10">
        <f ca="1">IFERROR(__xludf.DUMMYFUNCTION("GOOGLEFINANCE(A476,""marketcap"")"),14179561421)</f>
        <v>14179561421</v>
      </c>
      <c r="I476" s="13">
        <f ca="1">IFERROR(__xludf.DUMMYFUNCTION("GOOGLEFINANCE(A476,""volume"")"),11960078)</f>
        <v>11960078</v>
      </c>
      <c r="J476" s="13">
        <f ca="1">IFERROR(__xludf.DUMMYFUNCTION("GOOGLEFINANCE(A476,""volumeavg"")"),11085494)</f>
        <v>11085494</v>
      </c>
      <c r="K476" s="15">
        <f ca="1">IFERROR(__xludf.DUMMYFUNCTION("GOOGLEFINANCE(A476,""high52"")"),13.62)</f>
        <v>13.62</v>
      </c>
      <c r="L476" s="15">
        <f ca="1">IFERROR(__xludf.DUMMYFUNCTION("GOOGLEFINANCE(A476,""low52"")"),8.74)</f>
        <v>8.74</v>
      </c>
      <c r="M476" s="7">
        <f t="shared" ca="1" si="0"/>
        <v>45379.717931597224</v>
      </c>
    </row>
    <row r="477" spans="1:13">
      <c r="A477" s="4" t="s">
        <v>488</v>
      </c>
      <c r="B477" s="5" t="str">
        <f ca="1">IFERROR(__xludf.DUMMYFUNCTION("GoogleFinance(A477, ""name"")"),"Verizon Communications Inc.")</f>
        <v>Verizon Communications Inc.</v>
      </c>
      <c r="C477" s="15">
        <f ca="1">IFERROR(__xludf.DUMMYFUNCTION("GoogleFinance(A477, ""price"")"),41.96)</f>
        <v>41.96</v>
      </c>
      <c r="D477" s="6">
        <f ca="1">IFERROR(__xludf.DUMMYFUNCTION("GoogleFinance(A477, ""eps"")"),2.76)</f>
        <v>2.76</v>
      </c>
      <c r="E477" s="6">
        <f ca="1">IFERROR(__xludf.DUMMYFUNCTION("GOOGLEFINANCE(A477,""pe"")"),15.23)</f>
        <v>15.23</v>
      </c>
      <c r="F477" s="6">
        <f ca="1">IFERROR(__xludf.DUMMYFUNCTION("GoogleFinance(A477, ""beta"")"),0.4)</f>
        <v>0.4</v>
      </c>
      <c r="G477" s="13">
        <f ca="1">IFERROR(__xludf.DUMMYFUNCTION("GOOGLEFINANCE(A477,""shares"")"),4204272000)</f>
        <v>4204272000</v>
      </c>
      <c r="H477" s="10">
        <f ca="1">IFERROR(__xludf.DUMMYFUNCTION("GOOGLEFINANCE(A477,""marketcap"")"),176411249270)</f>
        <v>176411249270</v>
      </c>
      <c r="I477" s="13">
        <f ca="1">IFERROR(__xludf.DUMMYFUNCTION("GOOGLEFINANCE(A477,""volume"")"),19766107)</f>
        <v>19766107</v>
      </c>
      <c r="J477" s="13">
        <f ca="1">IFERROR(__xludf.DUMMYFUNCTION("GOOGLEFINANCE(A477,""volumeavg"")"),17653937)</f>
        <v>17653937</v>
      </c>
      <c r="K477" s="15">
        <f ca="1">IFERROR(__xludf.DUMMYFUNCTION("GOOGLEFINANCE(A477,""high52"")"),43.21)</f>
        <v>43.21</v>
      </c>
      <c r="L477" s="15">
        <f ca="1">IFERROR(__xludf.DUMMYFUNCTION("GOOGLEFINANCE(A477,""low52"")"),30.14)</f>
        <v>30.14</v>
      </c>
      <c r="M477" s="7">
        <f t="shared" ca="1" si="0"/>
        <v>45379.717931597224</v>
      </c>
    </row>
    <row r="478" spans="1:13">
      <c r="A478" s="4" t="s">
        <v>489</v>
      </c>
      <c r="B478" s="5" t="str">
        <f ca="1">IFERROR(__xludf.DUMMYFUNCTION("GoogleFinance(A478, ""name"")"),"Westinghouse Air Brake Technologies Corp")</f>
        <v>Westinghouse Air Brake Technologies Corp</v>
      </c>
      <c r="C478" s="15">
        <f ca="1">IFERROR(__xludf.DUMMYFUNCTION("GoogleFinance(A478, ""price"")"),145.68)</f>
        <v>145.68</v>
      </c>
      <c r="D478" s="6">
        <f ca="1">IFERROR(__xludf.DUMMYFUNCTION("GoogleFinance(A478, ""eps"")"),4.54)</f>
        <v>4.54</v>
      </c>
      <c r="E478" s="6">
        <f ca="1">IFERROR(__xludf.DUMMYFUNCTION("GOOGLEFINANCE(A478,""pe"")"),32.09)</f>
        <v>32.090000000000003</v>
      </c>
      <c r="F478" s="6">
        <f ca="1">IFERROR(__xludf.DUMMYFUNCTION("GoogleFinance(A478, ""beta"")"),1.4)</f>
        <v>1.4</v>
      </c>
      <c r="G478" s="13">
        <f ca="1">IFERROR(__xludf.DUMMYFUNCTION("GOOGLEFINANCE(A478,""shares"")"),177029000)</f>
        <v>177029000</v>
      </c>
      <c r="H478" s="10">
        <f ca="1">IFERROR(__xludf.DUMMYFUNCTION("GOOGLEFINANCE(A478,""marketcap"")"),25789539719)</f>
        <v>25789539719</v>
      </c>
      <c r="I478" s="13">
        <f ca="1">IFERROR(__xludf.DUMMYFUNCTION("GOOGLEFINANCE(A478,""volume"")"),728192)</f>
        <v>728192</v>
      </c>
      <c r="J478" s="13">
        <f ca="1">IFERROR(__xludf.DUMMYFUNCTION("GOOGLEFINANCE(A478,""volumeavg"")"),1012310)</f>
        <v>1012310</v>
      </c>
      <c r="K478" s="15">
        <f ca="1">IFERROR(__xludf.DUMMYFUNCTION("GOOGLEFINANCE(A478,""high52"")"),146.2)</f>
        <v>146.19999999999999</v>
      </c>
      <c r="L478" s="15">
        <f ca="1">IFERROR(__xludf.DUMMYFUNCTION("GOOGLEFINANCE(A478,""low52"")"),91.89)</f>
        <v>91.89</v>
      </c>
      <c r="M478" s="7">
        <f t="shared" ca="1" si="0"/>
        <v>45379.717931597224</v>
      </c>
    </row>
    <row r="479" spans="1:13">
      <c r="A479" s="4" t="s">
        <v>490</v>
      </c>
      <c r="B479" s="5" t="str">
        <f ca="1">IFERROR(__xludf.DUMMYFUNCTION("GoogleFinance(A479, ""name"")"),"Waters Corp")</f>
        <v>Waters Corp</v>
      </c>
      <c r="C479" s="15">
        <f ca="1">IFERROR(__xludf.DUMMYFUNCTION("GoogleFinance(A479, ""price"")"),344.23)</f>
        <v>344.23</v>
      </c>
      <c r="D479" s="6">
        <f ca="1">IFERROR(__xludf.DUMMYFUNCTION("GoogleFinance(A479, ""eps"")"),10.84)</f>
        <v>10.84</v>
      </c>
      <c r="E479" s="6">
        <f ca="1">IFERROR(__xludf.DUMMYFUNCTION("GOOGLEFINANCE(A479,""pe"")"),31.77)</f>
        <v>31.77</v>
      </c>
      <c r="F479" s="6">
        <f ca="1">IFERROR(__xludf.DUMMYFUNCTION("GoogleFinance(A479, ""beta"")"),0.93)</f>
        <v>0.93</v>
      </c>
      <c r="G479" s="13">
        <f ca="1">IFERROR(__xludf.DUMMYFUNCTION("GOOGLEFINANCE(A479,""shares"")"),59203000)</f>
        <v>59203000</v>
      </c>
      <c r="H479" s="10">
        <f ca="1">IFERROR(__xludf.DUMMYFUNCTION("GOOGLEFINANCE(A479,""marketcap"")"),20379315090)</f>
        <v>20379315090</v>
      </c>
      <c r="I479" s="13">
        <f ca="1">IFERROR(__xludf.DUMMYFUNCTION("GOOGLEFINANCE(A479,""volume"")"),262487)</f>
        <v>262487</v>
      </c>
      <c r="J479" s="13">
        <f ca="1">IFERROR(__xludf.DUMMYFUNCTION("GOOGLEFINANCE(A479,""volumeavg"")"),409906)</f>
        <v>409906</v>
      </c>
      <c r="K479" s="15">
        <f ca="1">IFERROR(__xludf.DUMMYFUNCTION("GOOGLEFINANCE(A479,""high52"")"),363.8)</f>
        <v>363.8</v>
      </c>
      <c r="L479" s="15">
        <f ca="1">IFERROR(__xludf.DUMMYFUNCTION("GOOGLEFINANCE(A479,""low52"")"),231.9)</f>
        <v>231.9</v>
      </c>
      <c r="M479" s="7">
        <f t="shared" ca="1" si="0"/>
        <v>45379.717931597224</v>
      </c>
    </row>
    <row r="480" spans="1:13">
      <c r="A480" s="4" t="s">
        <v>491</v>
      </c>
      <c r="B480" s="5" t="str">
        <f ca="1">IFERROR(__xludf.DUMMYFUNCTION("GoogleFinance(A480, ""name"")"),"Walgreens Boots Alliance Inc")</f>
        <v>Walgreens Boots Alliance Inc</v>
      </c>
      <c r="C480" s="15">
        <f ca="1">IFERROR(__xludf.DUMMYFUNCTION("GoogleFinance(A480, ""price"")"),21.69)</f>
        <v>21.69</v>
      </c>
      <c r="D480" s="6">
        <f ca="1">IFERROR(__xludf.DUMMYFUNCTION("GoogleFinance(A480, ""eps"")"),0.66)</f>
        <v>0.66</v>
      </c>
      <c r="E480" s="6">
        <f ca="1">IFERROR(__xludf.DUMMYFUNCTION("GOOGLEFINANCE(A480,""pe"")"),32.63)</f>
        <v>32.630000000000003</v>
      </c>
      <c r="F480" s="6">
        <f ca="1">IFERROR(__xludf.DUMMYFUNCTION("GoogleFinance(A480, ""beta"")"),0.72)</f>
        <v>0.72</v>
      </c>
      <c r="G480" s="13">
        <f ca="1">IFERROR(__xludf.DUMMYFUNCTION("GOOGLEFINANCE(A480,""shares"")"),862376000)</f>
        <v>862376000</v>
      </c>
      <c r="H480" s="10">
        <f ca="1">IFERROR(__xludf.DUMMYFUNCTION("GOOGLEFINANCE(A480,""marketcap"")"),18704920717)</f>
        <v>18704920717</v>
      </c>
      <c r="I480" s="13">
        <f ca="1">IFERROR(__xludf.DUMMYFUNCTION("GOOGLEFINANCE(A480,""volume"")"),32885477)</f>
        <v>32885477</v>
      </c>
      <c r="J480" s="13">
        <f ca="1">IFERROR(__xludf.DUMMYFUNCTION("GOOGLEFINANCE(A480,""volumeavg"")"),10600691)</f>
        <v>10600691</v>
      </c>
      <c r="K480" s="15">
        <f ca="1">IFERROR(__xludf.DUMMYFUNCTION("GOOGLEFINANCE(A480,""high52"")"),36.58)</f>
        <v>36.58</v>
      </c>
      <c r="L480" s="15">
        <f ca="1">IFERROR(__xludf.DUMMYFUNCTION("GOOGLEFINANCE(A480,""low52"")"),19.68)</f>
        <v>19.68</v>
      </c>
      <c r="M480" s="7">
        <f t="shared" ca="1" si="0"/>
        <v>45379.717931597224</v>
      </c>
    </row>
    <row r="481" spans="1:13">
      <c r="A481" s="4" t="s">
        <v>492</v>
      </c>
      <c r="B481" s="5" t="str">
        <f ca="1">IFERROR(__xludf.DUMMYFUNCTION("GoogleFinance(A481, ""name"")"),"Warner Bros Discovery Inc")</f>
        <v>Warner Bros Discovery Inc</v>
      </c>
      <c r="C481" s="15">
        <f ca="1">IFERROR(__xludf.DUMMYFUNCTION("GoogleFinance(A481, ""price"")"),8.73)</f>
        <v>8.73</v>
      </c>
      <c r="D481" s="6">
        <f ca="1">IFERROR(__xludf.DUMMYFUNCTION("GoogleFinance(A481, ""eps"")"),-1.28)</f>
        <v>-1.28</v>
      </c>
      <c r="E481" s="6" t="str">
        <f ca="1">IFERROR(__xludf.DUMMYFUNCTION("GOOGLEFINANCE(A481,""pe"")"),"#N/A")</f>
        <v>#N/A</v>
      </c>
      <c r="F481" s="6">
        <f ca="1">IFERROR(__xludf.DUMMYFUNCTION("GoogleFinance(A481, ""beta"")"),1.51)</f>
        <v>1.51</v>
      </c>
      <c r="G481" s="13">
        <f ca="1">IFERROR(__xludf.DUMMYFUNCTION("GOOGLEFINANCE(A481,""shares"")"),2439687000)</f>
        <v>2439687000</v>
      </c>
      <c r="H481" s="10">
        <f ca="1">IFERROR(__xludf.DUMMYFUNCTION("GOOGLEFINANCE(A481,""marketcap"")"),21298466393)</f>
        <v>21298466393</v>
      </c>
      <c r="I481" s="13">
        <f ca="1">IFERROR(__xludf.DUMMYFUNCTION("GOOGLEFINANCE(A481,""volume"")"),17555439)</f>
        <v>17555439</v>
      </c>
      <c r="J481" s="13">
        <f ca="1">IFERROR(__xludf.DUMMYFUNCTION("GOOGLEFINANCE(A481,""volumeavg"")"),32880877)</f>
        <v>32880877</v>
      </c>
      <c r="K481" s="15">
        <f ca="1">IFERROR(__xludf.DUMMYFUNCTION("GOOGLEFINANCE(A481,""high52"")"),15.56)</f>
        <v>15.56</v>
      </c>
      <c r="L481" s="15">
        <f ca="1">IFERROR(__xludf.DUMMYFUNCTION("GOOGLEFINANCE(A481,""low52"")"),8.02)</f>
        <v>8.02</v>
      </c>
      <c r="M481" s="7">
        <f t="shared" ca="1" si="0"/>
        <v>45379.717931597224</v>
      </c>
    </row>
    <row r="482" spans="1:13">
      <c r="A482" s="4" t="s">
        <v>493</v>
      </c>
      <c r="B482" s="5" t="str">
        <f ca="1">IFERROR(__xludf.DUMMYFUNCTION("GoogleFinance(A482, ""name"")"),"Western Digital Corp")</f>
        <v>Western Digital Corp</v>
      </c>
      <c r="C482" s="15">
        <f ca="1">IFERROR(__xludf.DUMMYFUNCTION("GoogleFinance(A482, ""price"")"),68.24)</f>
        <v>68.239999999999995</v>
      </c>
      <c r="D482" s="6">
        <f ca="1">IFERROR(__xludf.DUMMYFUNCTION("GoogleFinance(A482, ""eps"")"),-7.21)</f>
        <v>-7.21</v>
      </c>
      <c r="E482" s="6" t="str">
        <f ca="1">IFERROR(__xludf.DUMMYFUNCTION("GOOGLEFINANCE(A482,""pe"")"),"#N/A")</f>
        <v>#N/A</v>
      </c>
      <c r="F482" s="6">
        <f ca="1">IFERROR(__xludf.DUMMYFUNCTION("GoogleFinance(A482, ""beta"")"),1.55)</f>
        <v>1.55</v>
      </c>
      <c r="G482" s="13">
        <f ca="1">IFERROR(__xludf.DUMMYFUNCTION("GOOGLEFINANCE(A482,""shares"")"),325860000)</f>
        <v>325860000</v>
      </c>
      <c r="H482" s="10">
        <f ca="1">IFERROR(__xludf.DUMMYFUNCTION("GOOGLEFINANCE(A482,""marketcap"")"),22236658407)</f>
        <v>22236658407</v>
      </c>
      <c r="I482" s="13">
        <f ca="1">IFERROR(__xludf.DUMMYFUNCTION("GOOGLEFINANCE(A482,""volume"")"),7934711)</f>
        <v>7934711</v>
      </c>
      <c r="J482" s="13">
        <f ca="1">IFERROR(__xludf.DUMMYFUNCTION("GOOGLEFINANCE(A482,""volumeavg"")"),6364164)</f>
        <v>6364164</v>
      </c>
      <c r="K482" s="15">
        <f ca="1">IFERROR(__xludf.DUMMYFUNCTION("GOOGLEFINANCE(A482,""high52"")"),69.28)</f>
        <v>69.28</v>
      </c>
      <c r="L482" s="15">
        <f ca="1">IFERROR(__xludf.DUMMYFUNCTION("GOOGLEFINANCE(A482,""low52"")"),31.97)</f>
        <v>31.97</v>
      </c>
      <c r="M482" s="7">
        <f t="shared" ca="1" si="0"/>
        <v>45379.717931597224</v>
      </c>
    </row>
    <row r="483" spans="1:13">
      <c r="A483" s="4" t="s">
        <v>494</v>
      </c>
      <c r="B483" s="5" t="str">
        <f ca="1">IFERROR(__xludf.DUMMYFUNCTION("GoogleFinance(A483, ""name"")"),"WEC Energy Group Inc")</f>
        <v>WEC Energy Group Inc</v>
      </c>
      <c r="C483" s="15">
        <f ca="1">IFERROR(__xludf.DUMMYFUNCTION("GoogleFinance(A483, ""price"")"),82.12)</f>
        <v>82.12</v>
      </c>
      <c r="D483" s="6">
        <f ca="1">IFERROR(__xludf.DUMMYFUNCTION("GoogleFinance(A483, ""eps"")"),4.22)</f>
        <v>4.22</v>
      </c>
      <c r="E483" s="6">
        <f ca="1">IFERROR(__xludf.DUMMYFUNCTION("GOOGLEFINANCE(A483,""pe"")"),19.48)</f>
        <v>19.48</v>
      </c>
      <c r="F483" s="6">
        <f ca="1">IFERROR(__xludf.DUMMYFUNCTION("GoogleFinance(A483, ""beta"")"),0.39)</f>
        <v>0.39</v>
      </c>
      <c r="G483" s="13">
        <f ca="1">IFERROR(__xludf.DUMMYFUNCTION("GOOGLEFINANCE(A483,""shares"")"),315562000)</f>
        <v>315562000</v>
      </c>
      <c r="H483" s="10">
        <f ca="1">IFERROR(__xludf.DUMMYFUNCTION("GOOGLEFINANCE(A483,""marketcap"")"),25913903034)</f>
        <v>25913903034</v>
      </c>
      <c r="I483" s="13">
        <f ca="1">IFERROR(__xludf.DUMMYFUNCTION("GOOGLEFINANCE(A483,""volume"")"),2649243)</f>
        <v>2649243</v>
      </c>
      <c r="J483" s="13">
        <f ca="1">IFERROR(__xludf.DUMMYFUNCTION("GOOGLEFINANCE(A483,""volumeavg"")"),1875241)</f>
        <v>1875241</v>
      </c>
      <c r="K483" s="15">
        <f ca="1">IFERROR(__xludf.DUMMYFUNCTION("GOOGLEFINANCE(A483,""high52"")"),99.26)</f>
        <v>99.26</v>
      </c>
      <c r="L483" s="15">
        <f ca="1">IFERROR(__xludf.DUMMYFUNCTION("GOOGLEFINANCE(A483,""low52"")"),75.13)</f>
        <v>75.13</v>
      </c>
      <c r="M483" s="7">
        <f t="shared" ca="1" si="0"/>
        <v>45379.717931597224</v>
      </c>
    </row>
    <row r="484" spans="1:13">
      <c r="A484" s="4" t="s">
        <v>495</v>
      </c>
      <c r="B484" s="5" t="str">
        <f ca="1">IFERROR(__xludf.DUMMYFUNCTION("GoogleFinance(A484, ""name"")"),"Welltower Inc")</f>
        <v>Welltower Inc</v>
      </c>
      <c r="C484" s="15">
        <f ca="1">IFERROR(__xludf.DUMMYFUNCTION("GoogleFinance(A484, ""price"")"),93.44)</f>
        <v>93.44</v>
      </c>
      <c r="D484" s="6">
        <f ca="1">IFERROR(__xludf.DUMMYFUNCTION("GoogleFinance(A484, ""eps"")"),0.52)</f>
        <v>0.52</v>
      </c>
      <c r="E484" s="6">
        <f ca="1">IFERROR(__xludf.DUMMYFUNCTION("GOOGLEFINANCE(A484,""pe"")"),178.06)</f>
        <v>178.06</v>
      </c>
      <c r="F484" s="6">
        <f ca="1">IFERROR(__xludf.DUMMYFUNCTION("GoogleFinance(A484, ""beta"")"),1.07)</f>
        <v>1.07</v>
      </c>
      <c r="G484" s="13">
        <f ca="1">IFERROR(__xludf.DUMMYFUNCTION("GOOGLEFINANCE(A484,""shares"")"),568878000)</f>
        <v>568878000</v>
      </c>
      <c r="H484" s="10">
        <f ca="1">IFERROR(__xludf.DUMMYFUNCTION("GOOGLEFINANCE(A484,""marketcap"")"),53155961708)</f>
        <v>53155961708</v>
      </c>
      <c r="I484" s="13">
        <f ca="1">IFERROR(__xludf.DUMMYFUNCTION("GOOGLEFINANCE(A484,""volume"")"),3519497)</f>
        <v>3519497</v>
      </c>
      <c r="J484" s="13">
        <f ca="1">IFERROR(__xludf.DUMMYFUNCTION("GOOGLEFINANCE(A484,""volumeavg"")"),2877926)</f>
        <v>2877926</v>
      </c>
      <c r="K484" s="15">
        <f ca="1">IFERROR(__xludf.DUMMYFUNCTION("GOOGLEFINANCE(A484,""high52"")"),94.63)</f>
        <v>94.63</v>
      </c>
      <c r="L484" s="15">
        <f ca="1">IFERROR(__xludf.DUMMYFUNCTION("GOOGLEFINANCE(A484,""low52"")"),69.68)</f>
        <v>69.680000000000007</v>
      </c>
      <c r="M484" s="7">
        <f t="shared" ca="1" si="0"/>
        <v>45379.717931597224</v>
      </c>
    </row>
    <row r="485" spans="1:13">
      <c r="A485" s="4" t="s">
        <v>496</v>
      </c>
      <c r="B485" s="5" t="str">
        <f ca="1">IFERROR(__xludf.DUMMYFUNCTION("GoogleFinance(A485, ""name"")"),"Wells Fargo &amp; Co")</f>
        <v>Wells Fargo &amp; Co</v>
      </c>
      <c r="C485" s="15">
        <f ca="1">IFERROR(__xludf.DUMMYFUNCTION("GoogleFinance(A485, ""price"")"),57.96)</f>
        <v>57.96</v>
      </c>
      <c r="D485" s="6">
        <f ca="1">IFERROR(__xludf.DUMMYFUNCTION("GoogleFinance(A485, ""eps"")"),4.83)</f>
        <v>4.83</v>
      </c>
      <c r="E485" s="6">
        <f ca="1">IFERROR(__xludf.DUMMYFUNCTION("GOOGLEFINANCE(A485,""pe"")"),11.99)</f>
        <v>11.99</v>
      </c>
      <c r="F485" s="6">
        <f ca="1">IFERROR(__xludf.DUMMYFUNCTION("GoogleFinance(A485, ""beta"")"),1.19)</f>
        <v>1.19</v>
      </c>
      <c r="G485" s="13">
        <f ca="1">IFERROR(__xludf.DUMMYFUNCTION("GOOGLEFINANCE(A485,""shares"")"),3577443000)</f>
        <v>3577443000</v>
      </c>
      <c r="H485" s="10">
        <f ca="1">IFERROR(__xludf.DUMMYFUNCTION("GOOGLEFINANCE(A485,""marketcap"")"),205201812598)</f>
        <v>205201812598</v>
      </c>
      <c r="I485" s="13">
        <f ca="1">IFERROR(__xludf.DUMMYFUNCTION("GOOGLEFINANCE(A485,""volume"")"),14618910)</f>
        <v>14618910</v>
      </c>
      <c r="J485" s="13">
        <f ca="1">IFERROR(__xludf.DUMMYFUNCTION("GOOGLEFINANCE(A485,""volumeavg"")"),20170561)</f>
        <v>20170561</v>
      </c>
      <c r="K485" s="15">
        <f ca="1">IFERROR(__xludf.DUMMYFUNCTION("GOOGLEFINANCE(A485,""high52"")"),58.44)</f>
        <v>58.44</v>
      </c>
      <c r="L485" s="15">
        <f ca="1">IFERROR(__xludf.DUMMYFUNCTION("GOOGLEFINANCE(A485,""low52"")"),36.27)</f>
        <v>36.270000000000003</v>
      </c>
      <c r="M485" s="7">
        <f t="shared" ca="1" si="0"/>
        <v>45379.717931597224</v>
      </c>
    </row>
    <row r="486" spans="1:13">
      <c r="A486" s="4" t="s">
        <v>497</v>
      </c>
      <c r="B486" s="5" t="str">
        <f ca="1">IFERROR(__xludf.DUMMYFUNCTION("GoogleFinance(A486, ""name"")"),"Whirlpool Corporation")</f>
        <v>Whirlpool Corporation</v>
      </c>
      <c r="C486" s="15">
        <f ca="1">IFERROR(__xludf.DUMMYFUNCTION("GoogleFinance(A486, ""price"")"),119.63)</f>
        <v>119.63</v>
      </c>
      <c r="D486" s="6">
        <f ca="1">IFERROR(__xludf.DUMMYFUNCTION("GoogleFinance(A486, ""eps"")"),8.71)</f>
        <v>8.7100000000000009</v>
      </c>
      <c r="E486" s="6">
        <f ca="1">IFERROR(__xludf.DUMMYFUNCTION("GOOGLEFINANCE(A486,""pe"")"),13.73)</f>
        <v>13.73</v>
      </c>
      <c r="F486" s="6">
        <f ca="1">IFERROR(__xludf.DUMMYFUNCTION("GoogleFinance(A486, ""beta"")"),1.47)</f>
        <v>1.47</v>
      </c>
      <c r="G486" s="13">
        <f ca="1">IFERROR(__xludf.DUMMYFUNCTION("GOOGLEFINANCE(A486,""shares"")"),54462000)</f>
        <v>54462000</v>
      </c>
      <c r="H486" s="10">
        <f ca="1">IFERROR(__xludf.DUMMYFUNCTION("GOOGLEFINANCE(A486,""marketcap"")"),6515296088)</f>
        <v>6515296088</v>
      </c>
      <c r="I486" s="13">
        <f ca="1">IFERROR(__xludf.DUMMYFUNCTION("GOOGLEFINANCE(A486,""volume"")"),1092173)</f>
        <v>1092173</v>
      </c>
      <c r="J486" s="13">
        <f ca="1">IFERROR(__xludf.DUMMYFUNCTION("GOOGLEFINANCE(A486,""volumeavg"")"),1518782)</f>
        <v>1518782</v>
      </c>
      <c r="K486" s="15">
        <f ca="1">IFERROR(__xludf.DUMMYFUNCTION("GOOGLEFINANCE(A486,""high52"")"),160.62)</f>
        <v>160.62</v>
      </c>
      <c r="L486" s="15">
        <f ca="1">IFERROR(__xludf.DUMMYFUNCTION("GOOGLEFINANCE(A486,""low52"")"),98.4)</f>
        <v>98.4</v>
      </c>
      <c r="M486" s="7">
        <f t="shared" ca="1" si="0"/>
        <v>45379.717931597224</v>
      </c>
    </row>
    <row r="487" spans="1:13">
      <c r="A487" s="4" t="s">
        <v>498</v>
      </c>
      <c r="B487" s="5" t="str">
        <f ca="1">IFERROR(__xludf.DUMMYFUNCTION("GoogleFinance(A487, ""name"")"),"Waste Management, Inc.")</f>
        <v>Waste Management, Inc.</v>
      </c>
      <c r="C487" s="15">
        <f ca="1">IFERROR(__xludf.DUMMYFUNCTION("GoogleFinance(A487, ""price"")"),213.15)</f>
        <v>213.15</v>
      </c>
      <c r="D487" s="6">
        <f ca="1">IFERROR(__xludf.DUMMYFUNCTION("GoogleFinance(A487, ""eps"")"),5.66)</f>
        <v>5.66</v>
      </c>
      <c r="E487" s="6">
        <f ca="1">IFERROR(__xludf.DUMMYFUNCTION("GOOGLEFINANCE(A487,""pe"")"),37.64)</f>
        <v>37.64</v>
      </c>
      <c r="F487" s="6">
        <f ca="1">IFERROR(__xludf.DUMMYFUNCTION("GoogleFinance(A487, ""beta"")"),0.72)</f>
        <v>0.72</v>
      </c>
      <c r="G487" s="13">
        <f ca="1">IFERROR(__xludf.DUMMYFUNCTION("GOOGLEFINANCE(A487,""shares"")"),401598000)</f>
        <v>401598000</v>
      </c>
      <c r="H487" s="10">
        <f ca="1">IFERROR(__xludf.DUMMYFUNCTION("GOOGLEFINANCE(A487,""marketcap"")"),85600611248)</f>
        <v>85600611248</v>
      </c>
      <c r="I487" s="13">
        <f ca="1">IFERROR(__xludf.DUMMYFUNCTION("GOOGLEFINANCE(A487,""volume"")"),2699107)</f>
        <v>2699107</v>
      </c>
      <c r="J487" s="13">
        <f ca="1">IFERROR(__xludf.DUMMYFUNCTION("GOOGLEFINANCE(A487,""volumeavg"")"),1647110)</f>
        <v>1647110</v>
      </c>
      <c r="K487" s="15">
        <f ca="1">IFERROR(__xludf.DUMMYFUNCTION("GOOGLEFINANCE(A487,""high52"")"),214.54)</f>
        <v>214.54</v>
      </c>
      <c r="L487" s="15">
        <f ca="1">IFERROR(__xludf.DUMMYFUNCTION("GOOGLEFINANCE(A487,""low52"")"),149.71)</f>
        <v>149.71</v>
      </c>
      <c r="M487" s="7">
        <f t="shared" ca="1" si="0"/>
        <v>45379.717931597224</v>
      </c>
    </row>
    <row r="488" spans="1:13">
      <c r="A488" s="4" t="s">
        <v>499</v>
      </c>
      <c r="B488" s="5" t="str">
        <f ca="1">IFERROR(__xludf.DUMMYFUNCTION("GoogleFinance(A488, ""name"")"),"Williams Companies Inc")</f>
        <v>Williams Companies Inc</v>
      </c>
      <c r="C488" s="15">
        <f ca="1">IFERROR(__xludf.DUMMYFUNCTION("GoogleFinance(A488, ""price"")"),38.97)</f>
        <v>38.97</v>
      </c>
      <c r="D488" s="6">
        <f ca="1">IFERROR(__xludf.DUMMYFUNCTION("GoogleFinance(A488, ""eps"")"),2.68)</f>
        <v>2.68</v>
      </c>
      <c r="E488" s="6">
        <f ca="1">IFERROR(__xludf.DUMMYFUNCTION("GOOGLEFINANCE(A488,""pe"")"),14.56)</f>
        <v>14.56</v>
      </c>
      <c r="F488" s="6">
        <f ca="1">IFERROR(__xludf.DUMMYFUNCTION("GoogleFinance(A488, ""beta"")"),1.04)</f>
        <v>1.04</v>
      </c>
      <c r="G488" s="13">
        <f ca="1">IFERROR(__xludf.DUMMYFUNCTION("GOOGLEFINANCE(A488,""shares"")"),1216750000)</f>
        <v>1216750000</v>
      </c>
      <c r="H488" s="10">
        <f ca="1">IFERROR(__xludf.DUMMYFUNCTION("GOOGLEFINANCE(A488,""marketcap"")"),47482023737)</f>
        <v>47482023737</v>
      </c>
      <c r="I488" s="13">
        <f ca="1">IFERROR(__xludf.DUMMYFUNCTION("GOOGLEFINANCE(A488,""volume"")"),6721182)</f>
        <v>6721182</v>
      </c>
      <c r="J488" s="13">
        <f ca="1">IFERROR(__xludf.DUMMYFUNCTION("GOOGLEFINANCE(A488,""volumeavg"")"),7613597)</f>
        <v>7613597</v>
      </c>
      <c r="K488" s="15">
        <f ca="1">IFERROR(__xludf.DUMMYFUNCTION("GOOGLEFINANCE(A488,""high52"")"),39.09)</f>
        <v>39.090000000000003</v>
      </c>
      <c r="L488" s="15">
        <f ca="1">IFERROR(__xludf.DUMMYFUNCTION("GOOGLEFINANCE(A488,""low52"")"),28.27)</f>
        <v>28.27</v>
      </c>
      <c r="M488" s="7">
        <f t="shared" ca="1" si="0"/>
        <v>45379.717931597224</v>
      </c>
    </row>
    <row r="489" spans="1:13">
      <c r="A489" s="4" t="s">
        <v>500</v>
      </c>
      <c r="B489" s="5" t="str">
        <f ca="1">IFERROR(__xludf.DUMMYFUNCTION("GoogleFinance(A489, ""name"")"),"Walmart Inc")</f>
        <v>Walmart Inc</v>
      </c>
      <c r="C489" s="15">
        <f ca="1">IFERROR(__xludf.DUMMYFUNCTION("GoogleFinance(A489, ""price"")"),60.17)</f>
        <v>60.17</v>
      </c>
      <c r="D489" s="6">
        <f ca="1">IFERROR(__xludf.DUMMYFUNCTION("GoogleFinance(A489, ""eps"")"),1.91)</f>
        <v>1.91</v>
      </c>
      <c r="E489" s="6">
        <f ca="1">IFERROR(__xludf.DUMMYFUNCTION("GOOGLEFINANCE(A489,""pe"")"),31.45)</f>
        <v>31.45</v>
      </c>
      <c r="F489" s="6">
        <f ca="1">IFERROR(__xludf.DUMMYFUNCTION("GoogleFinance(A489, ""beta"")"),0.49)</f>
        <v>0.49</v>
      </c>
      <c r="G489" s="13">
        <f ca="1">IFERROR(__xludf.DUMMYFUNCTION("GOOGLEFINANCE(A489,""shares"")"),8052792000)</f>
        <v>8052792000</v>
      </c>
      <c r="H489" s="10">
        <f ca="1">IFERROR(__xludf.DUMMYFUNCTION("GOOGLEFINANCE(A489,""marketcap"")"),484852733405)</f>
        <v>484852733405</v>
      </c>
      <c r="I489" s="13">
        <f ca="1">IFERROR(__xludf.DUMMYFUNCTION("GOOGLEFINANCE(A489,""volume"")"),17532112)</f>
        <v>17532112</v>
      </c>
      <c r="J489" s="13">
        <f ca="1">IFERROR(__xludf.DUMMYFUNCTION("GOOGLEFINANCE(A489,""volumeavg"")"),22521240)</f>
        <v>22521240</v>
      </c>
      <c r="K489" s="15">
        <f ca="1">IFERROR(__xludf.DUMMYFUNCTION("GOOGLEFINANCE(A489,""high52"")"),61.66)</f>
        <v>61.66</v>
      </c>
      <c r="L489" s="15">
        <f ca="1">IFERROR(__xludf.DUMMYFUNCTION("GOOGLEFINANCE(A489,""low52"")"),47.68)</f>
        <v>47.68</v>
      </c>
      <c r="M489" s="7">
        <f t="shared" ca="1" si="0"/>
        <v>45379.717931597224</v>
      </c>
    </row>
    <row r="490" spans="1:13">
      <c r="A490" s="4" t="s">
        <v>501</v>
      </c>
      <c r="B490" s="5" t="str">
        <f ca="1">IFERROR(__xludf.DUMMYFUNCTION("GoogleFinance(A490, ""name"")"),"W R Berkley Corp")</f>
        <v>W R Berkley Corp</v>
      </c>
      <c r="C490" s="15">
        <f ca="1">IFERROR(__xludf.DUMMYFUNCTION("GoogleFinance(A490, ""price"")"),88.44)</f>
        <v>88.44</v>
      </c>
      <c r="D490" s="6">
        <f ca="1">IFERROR(__xludf.DUMMYFUNCTION("GoogleFinance(A490, ""eps"")"),5.05)</f>
        <v>5.05</v>
      </c>
      <c r="E490" s="6">
        <f ca="1">IFERROR(__xludf.DUMMYFUNCTION("GOOGLEFINANCE(A490,""pe"")"),17.5)</f>
        <v>17.5</v>
      </c>
      <c r="F490" s="6">
        <f ca="1">IFERROR(__xludf.DUMMYFUNCTION("GoogleFinance(A490, ""beta"")"),0.57)</f>
        <v>0.56999999999999995</v>
      </c>
      <c r="G490" s="13">
        <f ca="1">IFERROR(__xludf.DUMMYFUNCTION("GOOGLEFINANCE(A490,""shares"")"),256549000)</f>
        <v>256549000</v>
      </c>
      <c r="H490" s="10">
        <f ca="1">IFERROR(__xludf.DUMMYFUNCTION("GOOGLEFINANCE(A490,""marketcap"")"),22689167654)</f>
        <v>22689167654</v>
      </c>
      <c r="I490" s="13">
        <f ca="1">IFERROR(__xludf.DUMMYFUNCTION("GOOGLEFINANCE(A490,""volume"")"),1647673)</f>
        <v>1647673</v>
      </c>
      <c r="J490" s="13">
        <f ca="1">IFERROR(__xludf.DUMMYFUNCTION("GOOGLEFINANCE(A490,""volumeavg"")"),1091076)</f>
        <v>1091076</v>
      </c>
      <c r="K490" s="15">
        <f ca="1">IFERROR(__xludf.DUMMYFUNCTION("GOOGLEFINANCE(A490,""high52"")"),89.19)</f>
        <v>89.19</v>
      </c>
      <c r="L490" s="15">
        <f ca="1">IFERROR(__xludf.DUMMYFUNCTION("GOOGLEFINANCE(A490,""low52"")"),55.5)</f>
        <v>55.5</v>
      </c>
      <c r="M490" s="7">
        <f t="shared" ca="1" si="0"/>
        <v>45379.717931597224</v>
      </c>
    </row>
    <row r="491" spans="1:13">
      <c r="A491" s="4" t="s">
        <v>502</v>
      </c>
      <c r="B491" s="5" t="str">
        <f ca="1">IFERROR(__xludf.DUMMYFUNCTION("GoogleFinance(A491, ""name"")"),"WestRock Co")</f>
        <v>WestRock Co</v>
      </c>
      <c r="C491" s="15">
        <f ca="1">IFERROR(__xludf.DUMMYFUNCTION("GoogleFinance(A491, ""price"")"),49.45)</f>
        <v>49.45</v>
      </c>
      <c r="D491" s="6">
        <f ca="1">IFERROR(__xludf.DUMMYFUNCTION("GoogleFinance(A491, ""eps"")"),-6.72)</f>
        <v>-6.72</v>
      </c>
      <c r="E491" s="6" t="str">
        <f ca="1">IFERROR(__xludf.DUMMYFUNCTION("GOOGLEFINANCE(A491,""pe"")"),"#N/A")</f>
        <v>#N/A</v>
      </c>
      <c r="F491" s="6">
        <f ca="1">IFERROR(__xludf.DUMMYFUNCTION("GoogleFinance(A491, ""beta"")"),1.09)</f>
        <v>1.0900000000000001</v>
      </c>
      <c r="G491" s="13">
        <f ca="1">IFERROR(__xludf.DUMMYFUNCTION("GOOGLEFINANCE(A491,""shares"")"),256967000)</f>
        <v>256967000</v>
      </c>
      <c r="H491" s="10">
        <f ca="1">IFERROR(__xludf.DUMMYFUNCTION("GOOGLEFINANCE(A491,""marketcap"")"),12706998566)</f>
        <v>12706998566</v>
      </c>
      <c r="I491" s="13">
        <f ca="1">IFERROR(__xludf.DUMMYFUNCTION("GOOGLEFINANCE(A491,""volume"")"),1978346)</f>
        <v>1978346</v>
      </c>
      <c r="J491" s="13">
        <f ca="1">IFERROR(__xludf.DUMMYFUNCTION("GOOGLEFINANCE(A491,""volumeavg"")"),1955017)</f>
        <v>1955017</v>
      </c>
      <c r="K491" s="15">
        <f ca="1">IFERROR(__xludf.DUMMYFUNCTION("GOOGLEFINANCE(A491,""high52"")"),49.67)</f>
        <v>49.67</v>
      </c>
      <c r="L491" s="15">
        <f ca="1">IFERROR(__xludf.DUMMYFUNCTION("GOOGLEFINANCE(A491,""low52"")"),26.85)</f>
        <v>26.85</v>
      </c>
      <c r="M491" s="7">
        <f t="shared" ca="1" si="0"/>
        <v>45379.717931597224</v>
      </c>
    </row>
    <row r="492" spans="1:13">
      <c r="A492" s="4" t="s">
        <v>503</v>
      </c>
      <c r="B492" s="5" t="str">
        <f ca="1">IFERROR(__xludf.DUMMYFUNCTION("GoogleFinance(A492, ""name"")"),"West Pharmaceutical Services Inc.")</f>
        <v>West Pharmaceutical Services Inc.</v>
      </c>
      <c r="C492" s="15">
        <f ca="1">IFERROR(__xludf.DUMMYFUNCTION("GoogleFinance(A492, ""price"")"),395.71)</f>
        <v>395.71</v>
      </c>
      <c r="D492" s="6">
        <f ca="1">IFERROR(__xludf.DUMMYFUNCTION("GoogleFinance(A492, ""eps"")"),7.88)</f>
        <v>7.88</v>
      </c>
      <c r="E492" s="6">
        <f ca="1">IFERROR(__xludf.DUMMYFUNCTION("GOOGLEFINANCE(A492,""pe"")"),50.21)</f>
        <v>50.21</v>
      </c>
      <c r="F492" s="6">
        <f ca="1">IFERROR(__xludf.DUMMYFUNCTION("GoogleFinance(A492, ""beta"")"),1.03)</f>
        <v>1.03</v>
      </c>
      <c r="G492" s="13">
        <f ca="1">IFERROR(__xludf.DUMMYFUNCTION("GOOGLEFINANCE(A492,""shares"")"),73205000)</f>
        <v>73205000</v>
      </c>
      <c r="H492" s="10">
        <f ca="1">IFERROR(__xludf.DUMMYFUNCTION("GOOGLEFINANCE(A492,""marketcap"")"),28968088422)</f>
        <v>28968088422</v>
      </c>
      <c r="I492" s="13">
        <f ca="1">IFERROR(__xludf.DUMMYFUNCTION("GOOGLEFINANCE(A492,""volume"")"),236378)</f>
        <v>236378</v>
      </c>
      <c r="J492" s="13">
        <f ca="1">IFERROR(__xludf.DUMMYFUNCTION("GOOGLEFINANCE(A492,""volumeavg"")"),628709)</f>
        <v>628709</v>
      </c>
      <c r="K492" s="15">
        <f ca="1">IFERROR(__xludf.DUMMYFUNCTION("GOOGLEFINANCE(A492,""high52"")"),415.73)</f>
        <v>415.73</v>
      </c>
      <c r="L492" s="15">
        <f ca="1">IFERROR(__xludf.DUMMYFUNCTION("GOOGLEFINANCE(A492,""low52"")"),310.42)</f>
        <v>310.42</v>
      </c>
      <c r="M492" s="7">
        <f t="shared" ca="1" si="0"/>
        <v>45379.717931597224</v>
      </c>
    </row>
    <row r="493" spans="1:13">
      <c r="A493" s="4" t="s">
        <v>504</v>
      </c>
      <c r="B493" s="5" t="str">
        <f ca="1">IFERROR(__xludf.DUMMYFUNCTION("GoogleFinance(A493, ""name"")"),"Willis Towers Watson PLC")</f>
        <v>Willis Towers Watson PLC</v>
      </c>
      <c r="C493" s="15">
        <f ca="1">IFERROR(__xludf.DUMMYFUNCTION("GoogleFinance(A493, ""price"")"),275)</f>
        <v>275</v>
      </c>
      <c r="D493" s="6" t="str">
        <f ca="1">IFERROR(__xludf.DUMMYFUNCTION("GoogleFinance(A493, ""eps"")"),"#N/A")</f>
        <v>#N/A</v>
      </c>
      <c r="E493" s="6" t="str">
        <f ca="1">IFERROR(__xludf.DUMMYFUNCTION("GOOGLEFINANCE(A493,""pe"")"),"#N/A")</f>
        <v>#N/A</v>
      </c>
      <c r="F493" s="6">
        <f ca="1">IFERROR(__xludf.DUMMYFUNCTION("GoogleFinance(A493, ""beta"")"),0.73)</f>
        <v>0.73</v>
      </c>
      <c r="G493" s="13">
        <f ca="1">IFERROR(__xludf.DUMMYFUNCTION("GOOGLEFINANCE(A493,""shares"")"),102481000)</f>
        <v>102481000</v>
      </c>
      <c r="H493" s="10">
        <f ca="1">IFERROR(__xludf.DUMMYFUNCTION("GOOGLEFINANCE(A493,""marketcap"")"),18506864750)</f>
        <v>18506864750</v>
      </c>
      <c r="I493" s="13">
        <f ca="1">IFERROR(__xludf.DUMMYFUNCTION("GOOGLEFINANCE(A493,""volume"")"),559581)</f>
        <v>559581</v>
      </c>
      <c r="J493" s="13">
        <f ca="1">IFERROR(__xludf.DUMMYFUNCTION("GOOGLEFINANCE(A493,""volumeavg"")"),491368)</f>
        <v>491368</v>
      </c>
      <c r="K493" s="15">
        <f ca="1">IFERROR(__xludf.DUMMYFUNCTION("GOOGLEFINANCE(A493,""high52"")"),278.86)</f>
        <v>278.86</v>
      </c>
      <c r="L493" s="15">
        <f ca="1">IFERROR(__xludf.DUMMYFUNCTION("GOOGLEFINANCE(A493,""low52"")"),195.29)</f>
        <v>195.29</v>
      </c>
      <c r="M493" s="7">
        <f t="shared" ca="1" si="0"/>
        <v>45379.717931597224</v>
      </c>
    </row>
    <row r="494" spans="1:13">
      <c r="A494" s="4" t="s">
        <v>505</v>
      </c>
      <c r="B494" s="5" t="str">
        <f ca="1">IFERROR(__xludf.DUMMYFUNCTION("GoogleFinance(A494, ""name"")"),"Weyerhaeuser Co")</f>
        <v>Weyerhaeuser Co</v>
      </c>
      <c r="C494" s="15">
        <f ca="1">IFERROR(__xludf.DUMMYFUNCTION("GoogleFinance(A494, ""price"")"),35.91)</f>
        <v>35.909999999999997</v>
      </c>
      <c r="D494" s="6">
        <f ca="1">IFERROR(__xludf.DUMMYFUNCTION("GoogleFinance(A494, ""eps"")"),1.15)</f>
        <v>1.1499999999999999</v>
      </c>
      <c r="E494" s="6">
        <f ca="1">IFERROR(__xludf.DUMMYFUNCTION("GOOGLEFINANCE(A494,""pe"")"),31.34)</f>
        <v>31.34</v>
      </c>
      <c r="F494" s="6">
        <f ca="1">IFERROR(__xludf.DUMMYFUNCTION("GoogleFinance(A494, ""beta"")"),1.4)</f>
        <v>1.4</v>
      </c>
      <c r="G494" s="13">
        <f ca="1">IFERROR(__xludf.DUMMYFUNCTION("GOOGLEFINANCE(A494,""shares"")"),729521000)</f>
        <v>729521000</v>
      </c>
      <c r="H494" s="10">
        <f ca="1">IFERROR(__xludf.DUMMYFUNCTION("GOOGLEFINANCE(A494,""marketcap"")"),26197098998)</f>
        <v>26197098998</v>
      </c>
      <c r="I494" s="13">
        <f ca="1">IFERROR(__xludf.DUMMYFUNCTION("GOOGLEFINANCE(A494,""volume"")"),3438307)</f>
        <v>3438307</v>
      </c>
      <c r="J494" s="13">
        <f ca="1">IFERROR(__xludf.DUMMYFUNCTION("GOOGLEFINANCE(A494,""volumeavg"")"),3458470)</f>
        <v>3458470</v>
      </c>
      <c r="K494" s="15">
        <f ca="1">IFERROR(__xludf.DUMMYFUNCTION("GOOGLEFINANCE(A494,""high52"")"),36.27)</f>
        <v>36.270000000000003</v>
      </c>
      <c r="L494" s="15">
        <f ca="1">IFERROR(__xludf.DUMMYFUNCTION("GOOGLEFINANCE(A494,""low52"")"),28.12)</f>
        <v>28.12</v>
      </c>
      <c r="M494" s="7">
        <f t="shared" ca="1" si="0"/>
        <v>45379.717931597224</v>
      </c>
    </row>
    <row r="495" spans="1:13">
      <c r="A495" s="4" t="s">
        <v>506</v>
      </c>
      <c r="B495" s="5" t="str">
        <f ca="1">IFERROR(__xludf.DUMMYFUNCTION("GoogleFinance(A495, ""name"")"),"Wynn Resorts, Limited")</f>
        <v>Wynn Resorts, Limited</v>
      </c>
      <c r="C495" s="15">
        <f ca="1">IFERROR(__xludf.DUMMYFUNCTION("GoogleFinance(A495, ""price"")"),102.23)</f>
        <v>102.23</v>
      </c>
      <c r="D495" s="6">
        <f ca="1">IFERROR(__xludf.DUMMYFUNCTION("GoogleFinance(A495, ""eps"")"),6.47)</f>
        <v>6.47</v>
      </c>
      <c r="E495" s="6">
        <f ca="1">IFERROR(__xludf.DUMMYFUNCTION("GOOGLEFINANCE(A495,""pe"")"),15.8)</f>
        <v>15.8</v>
      </c>
      <c r="F495" s="6">
        <f ca="1">IFERROR(__xludf.DUMMYFUNCTION("GoogleFinance(A495, ""beta"")"),1.94)</f>
        <v>1.94</v>
      </c>
      <c r="G495" s="13">
        <f ca="1">IFERROR(__xludf.DUMMYFUNCTION("GOOGLEFINANCE(A495,""shares"")"),112078000)</f>
        <v>112078000</v>
      </c>
      <c r="H495" s="10">
        <f ca="1">IFERROR(__xludf.DUMMYFUNCTION("GOOGLEFINANCE(A495,""marketcap"")"),11456589340)</f>
        <v>11456589340</v>
      </c>
      <c r="I495" s="13">
        <f ca="1">IFERROR(__xludf.DUMMYFUNCTION("GOOGLEFINANCE(A495,""volume"")"),1018266)</f>
        <v>1018266</v>
      </c>
      <c r="J495" s="13">
        <f ca="1">IFERROR(__xludf.DUMMYFUNCTION("GOOGLEFINANCE(A495,""volumeavg"")"),1602526)</f>
        <v>1602526</v>
      </c>
      <c r="K495" s="15">
        <f ca="1">IFERROR(__xludf.DUMMYFUNCTION("GOOGLEFINANCE(A495,""high52"")"),117.86)</f>
        <v>117.86</v>
      </c>
      <c r="L495" s="15">
        <f ca="1">IFERROR(__xludf.DUMMYFUNCTION("GOOGLEFINANCE(A495,""low52"")"),81.65)</f>
        <v>81.650000000000006</v>
      </c>
      <c r="M495" s="7">
        <f t="shared" ca="1" si="0"/>
        <v>45379.717931597224</v>
      </c>
    </row>
    <row r="496" spans="1:13">
      <c r="A496" s="4" t="s">
        <v>507</v>
      </c>
      <c r="B496" s="5" t="str">
        <f ca="1">IFERROR(__xludf.DUMMYFUNCTION("GoogleFinance(A496, ""name"")"),"Xcel Energy Inc")</f>
        <v>Xcel Energy Inc</v>
      </c>
      <c r="C496" s="15">
        <f ca="1">IFERROR(__xludf.DUMMYFUNCTION("GoogleFinance(A496, ""price"")"),53.75)</f>
        <v>53.75</v>
      </c>
      <c r="D496" s="6">
        <f ca="1">IFERROR(__xludf.DUMMYFUNCTION("GoogleFinance(A496, ""eps"")"),3.21)</f>
        <v>3.21</v>
      </c>
      <c r="E496" s="6">
        <f ca="1">IFERROR(__xludf.DUMMYFUNCTION("GOOGLEFINANCE(A496,""pe"")"),16.75)</f>
        <v>16.75</v>
      </c>
      <c r="F496" s="6">
        <f ca="1">IFERROR(__xludf.DUMMYFUNCTION("GoogleFinance(A496, ""beta"")"),0.36)</f>
        <v>0.36</v>
      </c>
      <c r="G496" s="13">
        <f ca="1">IFERROR(__xludf.DUMMYFUNCTION("GOOGLEFINANCE(A496,""shares"")"),555156000)</f>
        <v>555156000</v>
      </c>
      <c r="H496" s="10">
        <f ca="1">IFERROR(__xludf.DUMMYFUNCTION("GOOGLEFINANCE(A496,""marketcap"")"),29839613500)</f>
        <v>29839613500</v>
      </c>
      <c r="I496" s="13">
        <f ca="1">IFERROR(__xludf.DUMMYFUNCTION("GOOGLEFINANCE(A496,""volume"")"),3556393)</f>
        <v>3556393</v>
      </c>
      <c r="J496" s="13">
        <f ca="1">IFERROR(__xludf.DUMMYFUNCTION("GOOGLEFINANCE(A496,""volumeavg"")"),7577646)</f>
        <v>7577646</v>
      </c>
      <c r="K496" s="15">
        <f ca="1">IFERROR(__xludf.DUMMYFUNCTION("GOOGLEFINANCE(A496,""high52"")"),71.96)</f>
        <v>71.959999999999994</v>
      </c>
      <c r="L496" s="15">
        <f ca="1">IFERROR(__xludf.DUMMYFUNCTION("GOOGLEFINANCE(A496,""low52"")"),46.79)</f>
        <v>46.79</v>
      </c>
      <c r="M496" s="7">
        <f t="shared" ca="1" si="0"/>
        <v>45379.717931597224</v>
      </c>
    </row>
    <row r="497" spans="1:13">
      <c r="A497" s="4" t="s">
        <v>508</v>
      </c>
      <c r="B497" s="5" t="str">
        <f ca="1">IFERROR(__xludf.DUMMYFUNCTION("GoogleFinance(A497, ""name"")"),"Exxon Mobil Corp")</f>
        <v>Exxon Mobil Corp</v>
      </c>
      <c r="C497" s="15">
        <f ca="1">IFERROR(__xludf.DUMMYFUNCTION("GoogleFinance(A497, ""price"")"),116.24)</f>
        <v>116.24</v>
      </c>
      <c r="D497" s="6">
        <f ca="1">IFERROR(__xludf.DUMMYFUNCTION("GoogleFinance(A497, ""eps"")"),8.88)</f>
        <v>8.8800000000000008</v>
      </c>
      <c r="E497" s="6">
        <f ca="1">IFERROR(__xludf.DUMMYFUNCTION("GOOGLEFINANCE(A497,""pe"")"),13.09)</f>
        <v>13.09</v>
      </c>
      <c r="F497" s="6">
        <f ca="1">IFERROR(__xludf.DUMMYFUNCTION("GoogleFinance(A497, ""beta"")"),0.96)</f>
        <v>0.96</v>
      </c>
      <c r="G497" s="13">
        <f ca="1">IFERROR(__xludf.DUMMYFUNCTION("GOOGLEFINANCE(A497,""shares"")"),3967844000)</f>
        <v>3967844000</v>
      </c>
      <c r="H497" s="10">
        <f ca="1">IFERROR(__xludf.DUMMYFUNCTION("GOOGLEFINANCE(A497,""marketcap"")"),461222178083)</f>
        <v>461222178083</v>
      </c>
      <c r="I497" s="13">
        <f ca="1">IFERROR(__xludf.DUMMYFUNCTION("GOOGLEFINANCE(A497,""volume"")"),18476418)</f>
        <v>18476418</v>
      </c>
      <c r="J497" s="13">
        <f ca="1">IFERROR(__xludf.DUMMYFUNCTION("GOOGLEFINANCE(A497,""volumeavg"")"),17374921)</f>
        <v>17374921</v>
      </c>
      <c r="K497" s="15">
        <f ca="1">IFERROR(__xludf.DUMMYFUNCTION("GOOGLEFINANCE(A497,""high52"")"),120.7)</f>
        <v>120.7</v>
      </c>
      <c r="L497" s="15">
        <f ca="1">IFERROR(__xludf.DUMMYFUNCTION("GOOGLEFINANCE(A497,""low52"")"),95.77)</f>
        <v>95.77</v>
      </c>
      <c r="M497" s="7">
        <f t="shared" ca="1" si="0"/>
        <v>45379.717931597224</v>
      </c>
    </row>
    <row r="498" spans="1:13">
      <c r="A498" s="4" t="s">
        <v>509</v>
      </c>
      <c r="B498" s="5" t="str">
        <f ca="1">IFERROR(__xludf.DUMMYFUNCTION("GoogleFinance(A498, ""name"")"),"DENTSPLY SIRONA Inc")</f>
        <v>DENTSPLY SIRONA Inc</v>
      </c>
      <c r="C498" s="15">
        <f ca="1">IFERROR(__xludf.DUMMYFUNCTION("GoogleFinance(A498, ""price"")"),33.19)</f>
        <v>33.19</v>
      </c>
      <c r="D498" s="6">
        <f ca="1">IFERROR(__xludf.DUMMYFUNCTION("GoogleFinance(A498, ""eps"")"),-0.62)</f>
        <v>-0.62</v>
      </c>
      <c r="E498" s="6" t="str">
        <f ca="1">IFERROR(__xludf.DUMMYFUNCTION("GOOGLEFINANCE(A498,""pe"")"),"#N/A")</f>
        <v>#N/A</v>
      </c>
      <c r="F498" s="6">
        <f ca="1">IFERROR(__xludf.DUMMYFUNCTION("GoogleFinance(A498, ""beta"")"),0.99)</f>
        <v>0.99</v>
      </c>
      <c r="G498" s="13">
        <f ca="1">IFERROR(__xludf.DUMMYFUNCTION("GOOGLEFINANCE(A498,""shares"")"),207363000)</f>
        <v>207363000</v>
      </c>
      <c r="H498" s="10">
        <f ca="1">IFERROR(__xludf.DUMMYFUNCTION("GOOGLEFINANCE(A498,""marketcap"")"),6882384323)</f>
        <v>6882384323</v>
      </c>
      <c r="I498" s="13">
        <f ca="1">IFERROR(__xludf.DUMMYFUNCTION("GOOGLEFINANCE(A498,""volume"")"),2604965)</f>
        <v>2604965</v>
      </c>
      <c r="J498" s="13">
        <f ca="1">IFERROR(__xludf.DUMMYFUNCTION("GOOGLEFINANCE(A498,""volumeavg"")"),2585416)</f>
        <v>2585416</v>
      </c>
      <c r="K498" s="15">
        <f ca="1">IFERROR(__xludf.DUMMYFUNCTION("GOOGLEFINANCE(A498,""high52"")"),43.24)</f>
        <v>43.24</v>
      </c>
      <c r="L498" s="15">
        <f ca="1">IFERROR(__xludf.DUMMYFUNCTION("GOOGLEFINANCE(A498,""low52"")"),26.27)</f>
        <v>26.27</v>
      </c>
      <c r="M498" s="7">
        <f t="shared" ca="1" si="0"/>
        <v>45379.717931597224</v>
      </c>
    </row>
    <row r="499" spans="1:13">
      <c r="A499" s="4" t="s">
        <v>510</v>
      </c>
      <c r="B499" s="5" t="str">
        <f ca="1">IFERROR(__xludf.DUMMYFUNCTION("GoogleFinance(A499, ""name"")"),"Xylem Inc")</f>
        <v>Xylem Inc</v>
      </c>
      <c r="C499" s="15">
        <f ca="1">IFERROR(__xludf.DUMMYFUNCTION("GoogleFinance(A499, ""price"")"),129.24)</f>
        <v>129.24</v>
      </c>
      <c r="D499" s="6">
        <f ca="1">IFERROR(__xludf.DUMMYFUNCTION("GoogleFinance(A499, ""eps"")"),2.79)</f>
        <v>2.79</v>
      </c>
      <c r="E499" s="6">
        <f ca="1">IFERROR(__xludf.DUMMYFUNCTION("GOOGLEFINANCE(A499,""pe"")"),46.31)</f>
        <v>46.31</v>
      </c>
      <c r="F499" s="6">
        <f ca="1">IFERROR(__xludf.DUMMYFUNCTION("GoogleFinance(A499, ""beta"")"),1.11)</f>
        <v>1.1100000000000001</v>
      </c>
      <c r="G499" s="13">
        <f ca="1">IFERROR(__xludf.DUMMYFUNCTION("GOOGLEFINANCE(A499,""shares"")"),241770000)</f>
        <v>241770000</v>
      </c>
      <c r="H499" s="10">
        <f ca="1">IFERROR(__xludf.DUMMYFUNCTION("GOOGLEFINANCE(A499,""marketcap"")"),31246407824)</f>
        <v>31246407824</v>
      </c>
      <c r="I499" s="13">
        <f ca="1">IFERROR(__xludf.DUMMYFUNCTION("GOOGLEFINANCE(A499,""volume"")"),953160)</f>
        <v>953160</v>
      </c>
      <c r="J499" s="13">
        <f ca="1">IFERROR(__xludf.DUMMYFUNCTION("GOOGLEFINANCE(A499,""volumeavg"")"),973518)</f>
        <v>973518</v>
      </c>
      <c r="K499" s="15">
        <f ca="1">IFERROR(__xludf.DUMMYFUNCTION("GOOGLEFINANCE(A499,""high52"")"),130.86)</f>
        <v>130.86000000000001</v>
      </c>
      <c r="L499" s="15">
        <f ca="1">IFERROR(__xludf.DUMMYFUNCTION("GOOGLEFINANCE(A499,""low52"")"),87.59)</f>
        <v>87.59</v>
      </c>
      <c r="M499" s="7">
        <f t="shared" ca="1" si="0"/>
        <v>45379.717931597224</v>
      </c>
    </row>
    <row r="500" spans="1:13">
      <c r="A500" s="4" t="s">
        <v>511</v>
      </c>
      <c r="B500" s="5" t="str">
        <f ca="1">IFERROR(__xludf.DUMMYFUNCTION("GoogleFinance(A500, ""name"")"),"Yum! Brands, Inc.")</f>
        <v>Yum! Brands, Inc.</v>
      </c>
      <c r="C500" s="15">
        <f ca="1">IFERROR(__xludf.DUMMYFUNCTION("GoogleFinance(A500, ""price"")"),138.65)</f>
        <v>138.65</v>
      </c>
      <c r="D500" s="6">
        <f ca="1">IFERROR(__xludf.DUMMYFUNCTION("GoogleFinance(A500, ""eps"")"),5.6)</f>
        <v>5.6</v>
      </c>
      <c r="E500" s="6">
        <f ca="1">IFERROR(__xludf.DUMMYFUNCTION("GOOGLEFINANCE(A500,""pe"")"),24.74)</f>
        <v>24.74</v>
      </c>
      <c r="F500" s="6">
        <f ca="1">IFERROR(__xludf.DUMMYFUNCTION("GoogleFinance(A500, ""beta"")"),1.1)</f>
        <v>1.1000000000000001</v>
      </c>
      <c r="G500" s="13">
        <f ca="1">IFERROR(__xludf.DUMMYFUNCTION("GOOGLEFINANCE(A500,""shares"")"),281336000)</f>
        <v>281336000</v>
      </c>
      <c r="H500" s="10">
        <f ca="1">IFERROR(__xludf.DUMMYFUNCTION("GOOGLEFINANCE(A500,""marketcap"")"),39007262412)</f>
        <v>39007262412</v>
      </c>
      <c r="I500" s="13">
        <f ca="1">IFERROR(__xludf.DUMMYFUNCTION("GOOGLEFINANCE(A500,""volume"")"),1770860)</f>
        <v>1770860</v>
      </c>
      <c r="J500" s="13">
        <f ca="1">IFERROR(__xludf.DUMMYFUNCTION("GOOGLEFINANCE(A500,""volumeavg"")"),2089345)</f>
        <v>2089345</v>
      </c>
      <c r="K500" s="15">
        <f ca="1">IFERROR(__xludf.DUMMYFUNCTION("GOOGLEFINANCE(A500,""high52"")"),143.25)</f>
        <v>143.25</v>
      </c>
      <c r="L500" s="15">
        <f ca="1">IFERROR(__xludf.DUMMYFUNCTION("GOOGLEFINANCE(A500,""low52"")"),115.53)</f>
        <v>115.53</v>
      </c>
      <c r="M500" s="7">
        <f t="shared" ca="1" si="0"/>
        <v>45379.717931597224</v>
      </c>
    </row>
    <row r="501" spans="1:13">
      <c r="A501" s="4" t="s">
        <v>512</v>
      </c>
      <c r="B501" s="5" t="str">
        <f ca="1">IFERROR(__xludf.DUMMYFUNCTION("GoogleFinance(A501, ""name"")"),"Zimmer Biomet Holdings Inc")</f>
        <v>Zimmer Biomet Holdings Inc</v>
      </c>
      <c r="C501" s="15">
        <f ca="1">IFERROR(__xludf.DUMMYFUNCTION("GoogleFinance(A501, ""price"")"),131.98)</f>
        <v>131.97999999999999</v>
      </c>
      <c r="D501" s="6">
        <f ca="1">IFERROR(__xludf.DUMMYFUNCTION("GoogleFinance(A501, ""eps"")"),4.88)</f>
        <v>4.88</v>
      </c>
      <c r="E501" s="6">
        <f ca="1">IFERROR(__xludf.DUMMYFUNCTION("GOOGLEFINANCE(A501,""pe"")"),27.03)</f>
        <v>27.03</v>
      </c>
      <c r="F501" s="6">
        <f ca="1">IFERROR(__xludf.DUMMYFUNCTION("GoogleFinance(A501, ""beta"")"),1.01)</f>
        <v>1.01</v>
      </c>
      <c r="G501" s="13">
        <f ca="1">IFERROR(__xludf.DUMMYFUNCTION("GOOGLEFINANCE(A501,""shares"")"),205084000)</f>
        <v>205084000</v>
      </c>
      <c r="H501" s="10">
        <f ca="1">IFERROR(__xludf.DUMMYFUNCTION("GOOGLEFINANCE(A501,""marketcap"")"),27066985443)</f>
        <v>27066985443</v>
      </c>
      <c r="I501" s="13">
        <f ca="1">IFERROR(__xludf.DUMMYFUNCTION("GOOGLEFINANCE(A501,""volume"")"),1425279)</f>
        <v>1425279</v>
      </c>
      <c r="J501" s="13">
        <f ca="1">IFERROR(__xludf.DUMMYFUNCTION("GOOGLEFINANCE(A501,""volumeavg"")"),1280736)</f>
        <v>1280736</v>
      </c>
      <c r="K501" s="15">
        <f ca="1">IFERROR(__xludf.DUMMYFUNCTION("GOOGLEFINANCE(A501,""high52"")"),149.25)</f>
        <v>149.25</v>
      </c>
      <c r="L501" s="15">
        <f ca="1">IFERROR(__xludf.DUMMYFUNCTION("GOOGLEFINANCE(A501,""low52"")"),102)</f>
        <v>102</v>
      </c>
      <c r="M501" s="7">
        <f t="shared" ca="1" si="0"/>
        <v>45379.717931597224</v>
      </c>
    </row>
    <row r="502" spans="1:13">
      <c r="A502" s="4" t="s">
        <v>513</v>
      </c>
      <c r="B502" s="5" t="str">
        <f ca="1">IFERROR(__xludf.DUMMYFUNCTION("GoogleFinance(A502, ""name"")"),"Zebra Technologies Corp.")</f>
        <v>Zebra Technologies Corp.</v>
      </c>
      <c r="C502" s="15">
        <f ca="1">IFERROR(__xludf.DUMMYFUNCTION("GoogleFinance(A502, ""price"")"),301.44)</f>
        <v>301.44</v>
      </c>
      <c r="D502" s="6">
        <f ca="1">IFERROR(__xludf.DUMMYFUNCTION("GoogleFinance(A502, ""eps"")"),5.72)</f>
        <v>5.72</v>
      </c>
      <c r="E502" s="6">
        <f ca="1">IFERROR(__xludf.DUMMYFUNCTION("GOOGLEFINANCE(A502,""pe"")"),52.66)</f>
        <v>52.66</v>
      </c>
      <c r="F502" s="6">
        <f ca="1">IFERROR(__xludf.DUMMYFUNCTION("GoogleFinance(A502, ""beta"")"),1.78)</f>
        <v>1.78</v>
      </c>
      <c r="G502" s="13">
        <f ca="1">IFERROR(__xludf.DUMMYFUNCTION("GOOGLEFINANCE(A502,""shares"")"),51381000)</f>
        <v>51381000</v>
      </c>
      <c r="H502" s="10">
        <f ca="1">IFERROR(__xludf.DUMMYFUNCTION("GOOGLEFINANCE(A502,""marketcap"")"),15488409341)</f>
        <v>15488409341</v>
      </c>
      <c r="I502" s="13">
        <f ca="1">IFERROR(__xludf.DUMMYFUNCTION("GOOGLEFINANCE(A502,""volume"")"),376934)</f>
        <v>376934</v>
      </c>
      <c r="J502" s="13">
        <f ca="1">IFERROR(__xludf.DUMMYFUNCTION("GOOGLEFINANCE(A502,""volumeavg"")"),370087)</f>
        <v>370087</v>
      </c>
      <c r="K502" s="15">
        <f ca="1">IFERROR(__xludf.DUMMYFUNCTION("GOOGLEFINANCE(A502,""high52"")"),320.55)</f>
        <v>320.55</v>
      </c>
      <c r="L502" s="15">
        <f ca="1">IFERROR(__xludf.DUMMYFUNCTION("GOOGLEFINANCE(A502,""low52"")"),194.59)</f>
        <v>194.59</v>
      </c>
      <c r="M502" s="7">
        <f t="shared" ca="1" si="0"/>
        <v>45379.717931597224</v>
      </c>
    </row>
    <row r="503" spans="1:13">
      <c r="A503" s="4" t="s">
        <v>514</v>
      </c>
      <c r="B503" s="5" t="str">
        <f ca="1">IFERROR(__xludf.DUMMYFUNCTION("GoogleFinance(A503, ""name"")"),"Zions Bancorporation NA")</f>
        <v>Zions Bancorporation NA</v>
      </c>
      <c r="C503" s="15">
        <f ca="1">IFERROR(__xludf.DUMMYFUNCTION("GoogleFinance(A503, ""price"")"),43.4)</f>
        <v>43.4</v>
      </c>
      <c r="D503" s="6">
        <f ca="1">IFERROR(__xludf.DUMMYFUNCTION("GoogleFinance(A503, ""eps"")"),4.34)</f>
        <v>4.34</v>
      </c>
      <c r="E503" s="6">
        <f ca="1">IFERROR(__xludf.DUMMYFUNCTION("GOOGLEFINANCE(A503,""pe"")"),9.99)</f>
        <v>9.99</v>
      </c>
      <c r="F503" s="6">
        <f ca="1">IFERROR(__xludf.DUMMYFUNCTION("GoogleFinance(A503, ""beta"")"),1.12)</f>
        <v>1.1200000000000001</v>
      </c>
      <c r="G503" s="13">
        <f ca="1">IFERROR(__xludf.DUMMYFUNCTION("GOOGLEFINANCE(A503,""shares"")"),148155000)</f>
        <v>148155000</v>
      </c>
      <c r="H503" s="10">
        <f ca="1">IFERROR(__xludf.DUMMYFUNCTION("GOOGLEFINANCE(A503,""marketcap"")"),6405796825)</f>
        <v>6405796825</v>
      </c>
      <c r="I503" s="13">
        <f ca="1">IFERROR(__xludf.DUMMYFUNCTION("GOOGLEFINANCE(A503,""volume"")"),1959624)</f>
        <v>1959624</v>
      </c>
      <c r="J503" s="13">
        <f ca="1">IFERROR(__xludf.DUMMYFUNCTION("GOOGLEFINANCE(A503,""volumeavg"")"),3677172)</f>
        <v>3677172</v>
      </c>
      <c r="K503" s="15">
        <f ca="1">IFERROR(__xludf.DUMMYFUNCTION("GOOGLEFINANCE(A503,""high52"")"),46.15)</f>
        <v>46.15</v>
      </c>
      <c r="L503" s="15">
        <f ca="1">IFERROR(__xludf.DUMMYFUNCTION("GOOGLEFINANCE(A503,""low52"")"),18.26)</f>
        <v>18.260000000000002</v>
      </c>
      <c r="M503" s="7">
        <f t="shared" ca="1" si="0"/>
        <v>45379.717931597224</v>
      </c>
    </row>
    <row r="504" spans="1:13">
      <c r="A504" s="4" t="s">
        <v>515</v>
      </c>
      <c r="B504" s="5" t="str">
        <f ca="1">IFERROR(__xludf.DUMMYFUNCTION("GoogleFinance(A504, ""name"")"),"Zoetis Inc")</f>
        <v>Zoetis Inc</v>
      </c>
      <c r="C504" s="15">
        <f ca="1">IFERROR(__xludf.DUMMYFUNCTION("GoogleFinance(A504, ""price"")"),169.21)</f>
        <v>169.21</v>
      </c>
      <c r="D504" s="6">
        <f ca="1">IFERROR(__xludf.DUMMYFUNCTION("GoogleFinance(A504, ""eps"")"),5.07)</f>
        <v>5.07</v>
      </c>
      <c r="E504" s="6">
        <f ca="1">IFERROR(__xludf.DUMMYFUNCTION("GOOGLEFINANCE(A504,""pe"")"),33.37)</f>
        <v>33.369999999999997</v>
      </c>
      <c r="F504" s="6">
        <f ca="1">IFERROR(__xludf.DUMMYFUNCTION("GoogleFinance(A504, ""beta"")"),0.87)</f>
        <v>0.87</v>
      </c>
      <c r="G504" s="13">
        <f ca="1">IFERROR(__xludf.DUMMYFUNCTION("GOOGLEFINANCE(A504,""shares"")"),457867000)</f>
        <v>457867000</v>
      </c>
      <c r="H504" s="10">
        <f ca="1">IFERROR(__xludf.DUMMYFUNCTION("GOOGLEFINANCE(A504,""marketcap"")"),77475695065)</f>
        <v>77475695065</v>
      </c>
      <c r="I504" s="13">
        <f ca="1">IFERROR(__xludf.DUMMYFUNCTION("GOOGLEFINANCE(A504,""volume"")"),3395780)</f>
        <v>3395780</v>
      </c>
      <c r="J504" s="13">
        <f ca="1">IFERROR(__xludf.DUMMYFUNCTION("GOOGLEFINANCE(A504,""volumeavg"")"),3390679)</f>
        <v>3390679</v>
      </c>
      <c r="K504" s="15">
        <f ca="1">IFERROR(__xludf.DUMMYFUNCTION("GOOGLEFINANCE(A504,""high52"")"),201.92)</f>
        <v>201.92</v>
      </c>
      <c r="L504" s="15">
        <f ca="1">IFERROR(__xludf.DUMMYFUNCTION("GOOGLEFINANCE(A504,""low52"")"),151.03)</f>
        <v>151.03</v>
      </c>
      <c r="M504" s="7">
        <f t="shared" ca="1" si="0"/>
        <v>45379.717931597224</v>
      </c>
    </row>
  </sheetData>
  <hyperlinks>
    <hyperlink ref="A2" r:id="rId1" xr:uid="{00000000-0004-0000-0000-000000000000}"/>
    <hyperlink ref="A3" r:id="rId2" xr:uid="{00000000-0004-0000-0000-000001000000}"/>
    <hyperlink ref="A4" r:id="rId3" xr:uid="{00000000-0004-0000-0000-000002000000}"/>
    <hyperlink ref="A5" r:id="rId4" xr:uid="{00000000-0004-0000-0000-000003000000}"/>
    <hyperlink ref="A6" r:id="rId5" xr:uid="{00000000-0004-0000-0000-000004000000}"/>
    <hyperlink ref="A7" r:id="rId6" xr:uid="{00000000-0004-0000-0000-000005000000}"/>
    <hyperlink ref="A8" r:id="rId7" xr:uid="{00000000-0004-0000-0000-000006000000}"/>
    <hyperlink ref="A9" r:id="rId8" xr:uid="{00000000-0004-0000-0000-000007000000}"/>
    <hyperlink ref="A10" r:id="rId9" xr:uid="{00000000-0004-0000-0000-000008000000}"/>
    <hyperlink ref="A11" r:id="rId10" xr:uid="{00000000-0004-0000-0000-000009000000}"/>
    <hyperlink ref="A12" r:id="rId11" xr:uid="{00000000-0004-0000-0000-00000A000000}"/>
    <hyperlink ref="A13" r:id="rId12" xr:uid="{00000000-0004-0000-0000-00000B000000}"/>
    <hyperlink ref="A14" r:id="rId13" xr:uid="{00000000-0004-0000-0000-00000C000000}"/>
    <hyperlink ref="A15" r:id="rId14" xr:uid="{00000000-0004-0000-0000-00000D000000}"/>
    <hyperlink ref="A16" r:id="rId15" xr:uid="{00000000-0004-0000-0000-00000E000000}"/>
    <hyperlink ref="A17" r:id="rId16" xr:uid="{00000000-0004-0000-0000-00000F000000}"/>
    <hyperlink ref="A18" r:id="rId17" xr:uid="{00000000-0004-0000-0000-000010000000}"/>
    <hyperlink ref="A19" r:id="rId18" xr:uid="{00000000-0004-0000-0000-000011000000}"/>
    <hyperlink ref="A20" r:id="rId19" xr:uid="{00000000-0004-0000-0000-000012000000}"/>
    <hyperlink ref="A21" r:id="rId20" xr:uid="{00000000-0004-0000-0000-000013000000}"/>
    <hyperlink ref="A22" r:id="rId21" xr:uid="{00000000-0004-0000-0000-000014000000}"/>
    <hyperlink ref="A23" r:id="rId22" xr:uid="{00000000-0004-0000-0000-000015000000}"/>
    <hyperlink ref="A24" r:id="rId23" xr:uid="{00000000-0004-0000-0000-000016000000}"/>
    <hyperlink ref="A25" r:id="rId24" xr:uid="{00000000-0004-0000-0000-000017000000}"/>
    <hyperlink ref="A26" r:id="rId25" xr:uid="{00000000-0004-0000-0000-000018000000}"/>
    <hyperlink ref="A27" r:id="rId26" xr:uid="{00000000-0004-0000-0000-000019000000}"/>
    <hyperlink ref="A28" r:id="rId27" xr:uid="{00000000-0004-0000-0000-00001A000000}"/>
    <hyperlink ref="A29" r:id="rId28" xr:uid="{00000000-0004-0000-0000-00001B000000}"/>
    <hyperlink ref="A30" r:id="rId29" xr:uid="{00000000-0004-0000-0000-00001C000000}"/>
    <hyperlink ref="A31" r:id="rId30" xr:uid="{00000000-0004-0000-0000-00001D000000}"/>
    <hyperlink ref="A32" r:id="rId31" xr:uid="{00000000-0004-0000-0000-00001E000000}"/>
    <hyperlink ref="A33" r:id="rId32" xr:uid="{00000000-0004-0000-0000-00001F000000}"/>
    <hyperlink ref="A34" r:id="rId33" xr:uid="{00000000-0004-0000-0000-000020000000}"/>
    <hyperlink ref="A35" r:id="rId34" xr:uid="{00000000-0004-0000-0000-000021000000}"/>
    <hyperlink ref="A36" r:id="rId35" xr:uid="{00000000-0004-0000-0000-000022000000}"/>
    <hyperlink ref="A37" r:id="rId36" xr:uid="{00000000-0004-0000-0000-000023000000}"/>
    <hyperlink ref="A38" r:id="rId37" xr:uid="{00000000-0004-0000-0000-000024000000}"/>
    <hyperlink ref="A39" r:id="rId38" xr:uid="{00000000-0004-0000-0000-000025000000}"/>
    <hyperlink ref="A40" r:id="rId39" xr:uid="{00000000-0004-0000-0000-000026000000}"/>
    <hyperlink ref="A41" r:id="rId40" xr:uid="{00000000-0004-0000-0000-000027000000}"/>
    <hyperlink ref="A42" r:id="rId41" xr:uid="{00000000-0004-0000-0000-000028000000}"/>
    <hyperlink ref="A43" r:id="rId42" xr:uid="{00000000-0004-0000-0000-000029000000}"/>
    <hyperlink ref="A44" r:id="rId43" xr:uid="{00000000-0004-0000-0000-00002A000000}"/>
    <hyperlink ref="A45" r:id="rId44" xr:uid="{00000000-0004-0000-0000-00002B000000}"/>
    <hyperlink ref="A46" r:id="rId45" xr:uid="{00000000-0004-0000-0000-00002C000000}"/>
    <hyperlink ref="A47" r:id="rId46" xr:uid="{00000000-0004-0000-0000-00002D000000}"/>
    <hyperlink ref="A48" r:id="rId47" xr:uid="{00000000-0004-0000-0000-00002E000000}"/>
    <hyperlink ref="A49" r:id="rId48" xr:uid="{00000000-0004-0000-0000-00002F000000}"/>
    <hyperlink ref="A50" r:id="rId49" xr:uid="{00000000-0004-0000-0000-000030000000}"/>
    <hyperlink ref="A51" r:id="rId50" xr:uid="{00000000-0004-0000-0000-000031000000}"/>
    <hyperlink ref="A52" r:id="rId51" xr:uid="{00000000-0004-0000-0000-000032000000}"/>
    <hyperlink ref="A53" r:id="rId52" xr:uid="{00000000-0004-0000-0000-000033000000}"/>
    <hyperlink ref="A54" r:id="rId53" xr:uid="{00000000-0004-0000-0000-000034000000}"/>
    <hyperlink ref="A55" r:id="rId54" xr:uid="{00000000-0004-0000-0000-000035000000}"/>
    <hyperlink ref="A56" r:id="rId55" xr:uid="{00000000-0004-0000-0000-000036000000}"/>
    <hyperlink ref="A57" r:id="rId56" xr:uid="{00000000-0004-0000-0000-000037000000}"/>
    <hyperlink ref="A58" r:id="rId57" xr:uid="{00000000-0004-0000-0000-000038000000}"/>
    <hyperlink ref="A59" r:id="rId58" xr:uid="{00000000-0004-0000-0000-000039000000}"/>
    <hyperlink ref="A60" r:id="rId59" xr:uid="{00000000-0004-0000-0000-00003A000000}"/>
    <hyperlink ref="A61" r:id="rId60" xr:uid="{00000000-0004-0000-0000-00003B000000}"/>
    <hyperlink ref="A62" r:id="rId61" xr:uid="{00000000-0004-0000-0000-00003C000000}"/>
    <hyperlink ref="A63" r:id="rId62" xr:uid="{00000000-0004-0000-0000-00003D000000}"/>
    <hyperlink ref="A64" r:id="rId63" xr:uid="{00000000-0004-0000-0000-00003E000000}"/>
    <hyperlink ref="A65" r:id="rId64" xr:uid="{00000000-0004-0000-0000-00003F000000}"/>
    <hyperlink ref="A66" r:id="rId65" xr:uid="{00000000-0004-0000-0000-000040000000}"/>
    <hyperlink ref="A67" r:id="rId66" xr:uid="{00000000-0004-0000-0000-000041000000}"/>
    <hyperlink ref="A68" r:id="rId67" xr:uid="{00000000-0004-0000-0000-000042000000}"/>
    <hyperlink ref="A69" r:id="rId68" xr:uid="{00000000-0004-0000-0000-000043000000}"/>
    <hyperlink ref="A70" r:id="rId69" xr:uid="{00000000-0004-0000-0000-000044000000}"/>
    <hyperlink ref="A71" r:id="rId70" xr:uid="{00000000-0004-0000-0000-000045000000}"/>
    <hyperlink ref="A72" r:id="rId71" xr:uid="{00000000-0004-0000-0000-000046000000}"/>
    <hyperlink ref="A73" r:id="rId72" xr:uid="{00000000-0004-0000-0000-000047000000}"/>
    <hyperlink ref="A74" r:id="rId73" xr:uid="{00000000-0004-0000-0000-000048000000}"/>
    <hyperlink ref="A75" r:id="rId74" xr:uid="{00000000-0004-0000-0000-000049000000}"/>
    <hyperlink ref="A76" r:id="rId75" xr:uid="{00000000-0004-0000-0000-00004A000000}"/>
    <hyperlink ref="A77" r:id="rId76" xr:uid="{00000000-0004-0000-0000-00004B000000}"/>
    <hyperlink ref="A78" r:id="rId77" xr:uid="{00000000-0004-0000-0000-00004C000000}"/>
    <hyperlink ref="A79" r:id="rId78" xr:uid="{00000000-0004-0000-0000-00004D000000}"/>
    <hyperlink ref="A80" r:id="rId79" xr:uid="{00000000-0004-0000-0000-00004E000000}"/>
    <hyperlink ref="A81" r:id="rId80" xr:uid="{00000000-0004-0000-0000-00004F000000}"/>
    <hyperlink ref="A82" r:id="rId81" xr:uid="{00000000-0004-0000-0000-000050000000}"/>
    <hyperlink ref="A83" r:id="rId82" xr:uid="{00000000-0004-0000-0000-000051000000}"/>
    <hyperlink ref="A84" r:id="rId83" xr:uid="{00000000-0004-0000-0000-000052000000}"/>
    <hyperlink ref="A85" r:id="rId84" xr:uid="{00000000-0004-0000-0000-000053000000}"/>
    <hyperlink ref="A86" r:id="rId85" xr:uid="{00000000-0004-0000-0000-000054000000}"/>
    <hyperlink ref="A87" r:id="rId86" xr:uid="{00000000-0004-0000-0000-000055000000}"/>
    <hyperlink ref="A88" r:id="rId87" xr:uid="{00000000-0004-0000-0000-000056000000}"/>
    <hyperlink ref="A89" r:id="rId88" xr:uid="{00000000-0004-0000-0000-000057000000}"/>
    <hyperlink ref="A90" r:id="rId89" xr:uid="{00000000-0004-0000-0000-000058000000}"/>
    <hyperlink ref="A91" r:id="rId90" xr:uid="{00000000-0004-0000-0000-000059000000}"/>
    <hyperlink ref="A92" r:id="rId91" xr:uid="{00000000-0004-0000-0000-00005A000000}"/>
    <hyperlink ref="A93" r:id="rId92" xr:uid="{00000000-0004-0000-0000-00005B000000}"/>
    <hyperlink ref="A94" r:id="rId93" xr:uid="{00000000-0004-0000-0000-00005C000000}"/>
    <hyperlink ref="A95" r:id="rId94" xr:uid="{00000000-0004-0000-0000-00005D000000}"/>
    <hyperlink ref="A96" r:id="rId95" xr:uid="{00000000-0004-0000-0000-00005E000000}"/>
    <hyperlink ref="A97" r:id="rId96" xr:uid="{00000000-0004-0000-0000-00005F000000}"/>
    <hyperlink ref="A98" r:id="rId97" xr:uid="{00000000-0004-0000-0000-000060000000}"/>
    <hyperlink ref="A99" r:id="rId98" xr:uid="{00000000-0004-0000-0000-000061000000}"/>
    <hyperlink ref="A100" r:id="rId99" xr:uid="{00000000-0004-0000-0000-000062000000}"/>
    <hyperlink ref="A101" r:id="rId100" xr:uid="{00000000-0004-0000-0000-000063000000}"/>
    <hyperlink ref="A102" r:id="rId101" xr:uid="{00000000-0004-0000-0000-000064000000}"/>
    <hyperlink ref="A103" r:id="rId102" xr:uid="{00000000-0004-0000-0000-000065000000}"/>
    <hyperlink ref="A104" r:id="rId103" xr:uid="{00000000-0004-0000-0000-000066000000}"/>
    <hyperlink ref="A105" r:id="rId104" xr:uid="{00000000-0004-0000-0000-000067000000}"/>
    <hyperlink ref="A106" r:id="rId105" xr:uid="{00000000-0004-0000-0000-000068000000}"/>
    <hyperlink ref="A107" r:id="rId106" xr:uid="{00000000-0004-0000-0000-000069000000}"/>
    <hyperlink ref="A108" r:id="rId107" xr:uid="{00000000-0004-0000-0000-00006A000000}"/>
    <hyperlink ref="A109" r:id="rId108" xr:uid="{00000000-0004-0000-0000-00006B000000}"/>
    <hyperlink ref="A110" r:id="rId109" xr:uid="{00000000-0004-0000-0000-00006C000000}"/>
    <hyperlink ref="A111" r:id="rId110" xr:uid="{00000000-0004-0000-0000-00006D000000}"/>
    <hyperlink ref="A112" r:id="rId111" xr:uid="{00000000-0004-0000-0000-00006E000000}"/>
    <hyperlink ref="A113" r:id="rId112" xr:uid="{00000000-0004-0000-0000-00006F000000}"/>
    <hyperlink ref="A114" r:id="rId113" xr:uid="{00000000-0004-0000-0000-000070000000}"/>
    <hyperlink ref="A115" r:id="rId114" xr:uid="{00000000-0004-0000-0000-000071000000}"/>
    <hyperlink ref="A116" r:id="rId115" xr:uid="{00000000-0004-0000-0000-000072000000}"/>
    <hyperlink ref="A117" r:id="rId116" xr:uid="{00000000-0004-0000-0000-000073000000}"/>
    <hyperlink ref="A118" r:id="rId117" xr:uid="{00000000-0004-0000-0000-000074000000}"/>
    <hyperlink ref="A119" r:id="rId118" xr:uid="{00000000-0004-0000-0000-000075000000}"/>
    <hyperlink ref="A120" r:id="rId119" xr:uid="{00000000-0004-0000-0000-000076000000}"/>
    <hyperlink ref="A121" r:id="rId120" xr:uid="{00000000-0004-0000-0000-000077000000}"/>
    <hyperlink ref="A122" r:id="rId121" xr:uid="{00000000-0004-0000-0000-000078000000}"/>
    <hyperlink ref="A123" r:id="rId122" xr:uid="{00000000-0004-0000-0000-000079000000}"/>
    <hyperlink ref="A124" r:id="rId123" xr:uid="{00000000-0004-0000-0000-00007A000000}"/>
    <hyperlink ref="A125" r:id="rId124" xr:uid="{00000000-0004-0000-0000-00007B000000}"/>
    <hyperlink ref="A126" r:id="rId125" xr:uid="{00000000-0004-0000-0000-00007C000000}"/>
    <hyperlink ref="A127" r:id="rId126" xr:uid="{00000000-0004-0000-0000-00007D000000}"/>
    <hyperlink ref="A128" r:id="rId127" xr:uid="{00000000-0004-0000-0000-00007E000000}"/>
    <hyperlink ref="A129" r:id="rId128" xr:uid="{00000000-0004-0000-0000-00007F000000}"/>
    <hyperlink ref="A130" r:id="rId129" xr:uid="{00000000-0004-0000-0000-000080000000}"/>
    <hyperlink ref="A131" r:id="rId130" xr:uid="{00000000-0004-0000-0000-000081000000}"/>
    <hyperlink ref="A132" r:id="rId131" xr:uid="{00000000-0004-0000-0000-000082000000}"/>
    <hyperlink ref="A133" r:id="rId132" xr:uid="{00000000-0004-0000-0000-000083000000}"/>
    <hyperlink ref="A134" r:id="rId133" xr:uid="{00000000-0004-0000-0000-000084000000}"/>
    <hyperlink ref="A135" r:id="rId134" xr:uid="{00000000-0004-0000-0000-000085000000}"/>
    <hyperlink ref="A136" r:id="rId135" xr:uid="{00000000-0004-0000-0000-000086000000}"/>
    <hyperlink ref="A137" r:id="rId136" xr:uid="{00000000-0004-0000-0000-000087000000}"/>
    <hyperlink ref="A138" r:id="rId137" xr:uid="{00000000-0004-0000-0000-000088000000}"/>
    <hyperlink ref="A139" r:id="rId138" xr:uid="{00000000-0004-0000-0000-000089000000}"/>
    <hyperlink ref="A140" r:id="rId139" xr:uid="{00000000-0004-0000-0000-00008A000000}"/>
    <hyperlink ref="A141" r:id="rId140" xr:uid="{00000000-0004-0000-0000-00008B000000}"/>
    <hyperlink ref="A142" r:id="rId141" xr:uid="{00000000-0004-0000-0000-00008C000000}"/>
    <hyperlink ref="A143" r:id="rId142" xr:uid="{00000000-0004-0000-0000-00008D000000}"/>
    <hyperlink ref="A144" r:id="rId143" xr:uid="{00000000-0004-0000-0000-00008E000000}"/>
    <hyperlink ref="A145" r:id="rId144" xr:uid="{00000000-0004-0000-0000-00008F000000}"/>
    <hyperlink ref="A146" r:id="rId145" xr:uid="{00000000-0004-0000-0000-000090000000}"/>
    <hyperlink ref="A147" r:id="rId146" xr:uid="{00000000-0004-0000-0000-000091000000}"/>
    <hyperlink ref="A148" r:id="rId147" xr:uid="{00000000-0004-0000-0000-000092000000}"/>
    <hyperlink ref="A149" r:id="rId148" xr:uid="{00000000-0004-0000-0000-000093000000}"/>
    <hyperlink ref="A150" r:id="rId149" xr:uid="{00000000-0004-0000-0000-000094000000}"/>
    <hyperlink ref="A151" r:id="rId150" xr:uid="{00000000-0004-0000-0000-000095000000}"/>
    <hyperlink ref="A152" r:id="rId151" xr:uid="{00000000-0004-0000-0000-000096000000}"/>
    <hyperlink ref="A153" r:id="rId152" xr:uid="{00000000-0004-0000-0000-000097000000}"/>
    <hyperlink ref="A154" r:id="rId153" xr:uid="{00000000-0004-0000-0000-000098000000}"/>
    <hyperlink ref="A155" r:id="rId154" xr:uid="{00000000-0004-0000-0000-000099000000}"/>
    <hyperlink ref="A156" r:id="rId155" xr:uid="{00000000-0004-0000-0000-00009A000000}"/>
    <hyperlink ref="A157" r:id="rId156" xr:uid="{00000000-0004-0000-0000-00009B000000}"/>
    <hyperlink ref="A158" r:id="rId157" xr:uid="{00000000-0004-0000-0000-00009C000000}"/>
    <hyperlink ref="A159" r:id="rId158" xr:uid="{00000000-0004-0000-0000-00009D000000}"/>
    <hyperlink ref="A160" r:id="rId159" xr:uid="{00000000-0004-0000-0000-00009E000000}"/>
    <hyperlink ref="A161" r:id="rId160" xr:uid="{00000000-0004-0000-0000-00009F000000}"/>
    <hyperlink ref="A162" r:id="rId161" xr:uid="{00000000-0004-0000-0000-0000A0000000}"/>
    <hyperlink ref="A163" r:id="rId162" xr:uid="{00000000-0004-0000-0000-0000A1000000}"/>
    <hyperlink ref="A164" r:id="rId163" xr:uid="{00000000-0004-0000-0000-0000A2000000}"/>
    <hyperlink ref="A165" r:id="rId164" xr:uid="{00000000-0004-0000-0000-0000A3000000}"/>
    <hyperlink ref="A166" r:id="rId165" xr:uid="{00000000-0004-0000-0000-0000A4000000}"/>
    <hyperlink ref="A167" r:id="rId166" xr:uid="{00000000-0004-0000-0000-0000A5000000}"/>
    <hyperlink ref="A168" r:id="rId167" xr:uid="{00000000-0004-0000-0000-0000A6000000}"/>
    <hyperlink ref="A169" r:id="rId168" xr:uid="{00000000-0004-0000-0000-0000A7000000}"/>
    <hyperlink ref="A170" r:id="rId169" xr:uid="{00000000-0004-0000-0000-0000A8000000}"/>
    <hyperlink ref="A171" r:id="rId170" xr:uid="{00000000-0004-0000-0000-0000A9000000}"/>
    <hyperlink ref="A172" r:id="rId171" xr:uid="{00000000-0004-0000-0000-0000AA000000}"/>
    <hyperlink ref="A173" r:id="rId172" xr:uid="{00000000-0004-0000-0000-0000AB000000}"/>
    <hyperlink ref="A174" r:id="rId173" xr:uid="{00000000-0004-0000-0000-0000AC000000}"/>
    <hyperlink ref="A175" r:id="rId174" xr:uid="{00000000-0004-0000-0000-0000AD000000}"/>
    <hyperlink ref="A176" r:id="rId175" xr:uid="{00000000-0004-0000-0000-0000AE000000}"/>
    <hyperlink ref="A177" r:id="rId176" xr:uid="{00000000-0004-0000-0000-0000AF000000}"/>
    <hyperlink ref="A178" r:id="rId177" xr:uid="{00000000-0004-0000-0000-0000B0000000}"/>
    <hyperlink ref="A179" r:id="rId178" xr:uid="{00000000-0004-0000-0000-0000B1000000}"/>
    <hyperlink ref="A180" r:id="rId179" xr:uid="{00000000-0004-0000-0000-0000B2000000}"/>
    <hyperlink ref="A181" r:id="rId180" xr:uid="{00000000-0004-0000-0000-0000B3000000}"/>
    <hyperlink ref="A182" r:id="rId181" xr:uid="{00000000-0004-0000-0000-0000B4000000}"/>
    <hyperlink ref="A183" r:id="rId182" xr:uid="{00000000-0004-0000-0000-0000B5000000}"/>
    <hyperlink ref="A184" r:id="rId183" xr:uid="{00000000-0004-0000-0000-0000B6000000}"/>
    <hyperlink ref="A185" r:id="rId184" xr:uid="{00000000-0004-0000-0000-0000B7000000}"/>
    <hyperlink ref="A186" r:id="rId185" xr:uid="{00000000-0004-0000-0000-0000B8000000}"/>
    <hyperlink ref="A187" r:id="rId186" xr:uid="{00000000-0004-0000-0000-0000B9000000}"/>
    <hyperlink ref="A188" r:id="rId187" xr:uid="{00000000-0004-0000-0000-0000BA000000}"/>
    <hyperlink ref="A189" r:id="rId188" xr:uid="{00000000-0004-0000-0000-0000BB000000}"/>
    <hyperlink ref="A190" r:id="rId189" xr:uid="{00000000-0004-0000-0000-0000BC000000}"/>
    <hyperlink ref="A191" r:id="rId190" xr:uid="{00000000-0004-0000-0000-0000BD000000}"/>
    <hyperlink ref="A192" r:id="rId191" xr:uid="{00000000-0004-0000-0000-0000BE000000}"/>
    <hyperlink ref="A193" r:id="rId192" xr:uid="{00000000-0004-0000-0000-0000BF000000}"/>
    <hyperlink ref="A194" r:id="rId193" xr:uid="{00000000-0004-0000-0000-0000C0000000}"/>
    <hyperlink ref="A195" r:id="rId194" xr:uid="{00000000-0004-0000-0000-0000C1000000}"/>
    <hyperlink ref="A196" r:id="rId195" xr:uid="{00000000-0004-0000-0000-0000C2000000}"/>
    <hyperlink ref="A197" r:id="rId196" xr:uid="{00000000-0004-0000-0000-0000C3000000}"/>
    <hyperlink ref="A198" r:id="rId197" xr:uid="{00000000-0004-0000-0000-0000C4000000}"/>
    <hyperlink ref="A199" r:id="rId198" xr:uid="{00000000-0004-0000-0000-0000C5000000}"/>
    <hyperlink ref="A200" r:id="rId199" xr:uid="{00000000-0004-0000-0000-0000C6000000}"/>
    <hyperlink ref="A201" r:id="rId200" xr:uid="{00000000-0004-0000-0000-0000C7000000}"/>
    <hyperlink ref="A202" r:id="rId201" xr:uid="{00000000-0004-0000-0000-0000C8000000}"/>
    <hyperlink ref="A203" r:id="rId202" xr:uid="{00000000-0004-0000-0000-0000C9000000}"/>
    <hyperlink ref="A204" r:id="rId203" xr:uid="{00000000-0004-0000-0000-0000CA000000}"/>
    <hyperlink ref="A205" r:id="rId204" xr:uid="{00000000-0004-0000-0000-0000CB000000}"/>
    <hyperlink ref="A206" r:id="rId205" xr:uid="{00000000-0004-0000-0000-0000CC000000}"/>
    <hyperlink ref="A207" r:id="rId206" xr:uid="{00000000-0004-0000-0000-0000CD000000}"/>
    <hyperlink ref="A208" r:id="rId207" xr:uid="{00000000-0004-0000-0000-0000CE000000}"/>
    <hyperlink ref="A209" r:id="rId208" xr:uid="{00000000-0004-0000-0000-0000CF000000}"/>
    <hyperlink ref="A210" r:id="rId209" xr:uid="{00000000-0004-0000-0000-0000D0000000}"/>
    <hyperlink ref="A211" r:id="rId210" xr:uid="{00000000-0004-0000-0000-0000D1000000}"/>
    <hyperlink ref="A212" r:id="rId211" xr:uid="{00000000-0004-0000-0000-0000D2000000}"/>
    <hyperlink ref="A213" r:id="rId212" xr:uid="{00000000-0004-0000-0000-0000D3000000}"/>
    <hyperlink ref="A214" r:id="rId213" xr:uid="{00000000-0004-0000-0000-0000D4000000}"/>
    <hyperlink ref="A215" r:id="rId214" xr:uid="{00000000-0004-0000-0000-0000D5000000}"/>
    <hyperlink ref="A216" r:id="rId215" xr:uid="{00000000-0004-0000-0000-0000D6000000}"/>
    <hyperlink ref="A217" r:id="rId216" xr:uid="{00000000-0004-0000-0000-0000D7000000}"/>
    <hyperlink ref="A218" r:id="rId217" xr:uid="{00000000-0004-0000-0000-0000D8000000}"/>
    <hyperlink ref="A219" r:id="rId218" xr:uid="{00000000-0004-0000-0000-0000D9000000}"/>
    <hyperlink ref="A220" r:id="rId219" xr:uid="{00000000-0004-0000-0000-0000DA000000}"/>
    <hyperlink ref="A221" r:id="rId220" xr:uid="{00000000-0004-0000-0000-0000DB000000}"/>
    <hyperlink ref="A222" r:id="rId221" xr:uid="{00000000-0004-0000-0000-0000DC000000}"/>
    <hyperlink ref="A223" r:id="rId222" xr:uid="{00000000-0004-0000-0000-0000DD000000}"/>
    <hyperlink ref="A224" r:id="rId223" xr:uid="{00000000-0004-0000-0000-0000DE000000}"/>
    <hyperlink ref="A225" r:id="rId224" xr:uid="{00000000-0004-0000-0000-0000DF000000}"/>
    <hyperlink ref="A226" r:id="rId225" xr:uid="{00000000-0004-0000-0000-0000E0000000}"/>
    <hyperlink ref="A227" r:id="rId226" xr:uid="{00000000-0004-0000-0000-0000E1000000}"/>
    <hyperlink ref="A228" r:id="rId227" xr:uid="{00000000-0004-0000-0000-0000E2000000}"/>
    <hyperlink ref="A229" r:id="rId228" xr:uid="{00000000-0004-0000-0000-0000E3000000}"/>
    <hyperlink ref="A230" r:id="rId229" xr:uid="{00000000-0004-0000-0000-0000E4000000}"/>
    <hyperlink ref="A231" r:id="rId230" xr:uid="{00000000-0004-0000-0000-0000E5000000}"/>
    <hyperlink ref="A232" r:id="rId231" xr:uid="{00000000-0004-0000-0000-0000E6000000}"/>
    <hyperlink ref="A233" r:id="rId232" xr:uid="{00000000-0004-0000-0000-0000E7000000}"/>
    <hyperlink ref="A234" r:id="rId233" xr:uid="{00000000-0004-0000-0000-0000E8000000}"/>
    <hyperlink ref="A235" r:id="rId234" xr:uid="{00000000-0004-0000-0000-0000E9000000}"/>
    <hyperlink ref="A236" r:id="rId235" xr:uid="{00000000-0004-0000-0000-0000EA000000}"/>
    <hyperlink ref="A237" r:id="rId236" xr:uid="{00000000-0004-0000-0000-0000EB000000}"/>
    <hyperlink ref="A238" r:id="rId237" xr:uid="{00000000-0004-0000-0000-0000EC000000}"/>
    <hyperlink ref="A239" r:id="rId238" xr:uid="{00000000-0004-0000-0000-0000ED000000}"/>
    <hyperlink ref="A240" r:id="rId239" xr:uid="{00000000-0004-0000-0000-0000EE000000}"/>
    <hyperlink ref="A241" r:id="rId240" xr:uid="{00000000-0004-0000-0000-0000EF000000}"/>
    <hyperlink ref="A242" r:id="rId241" xr:uid="{00000000-0004-0000-0000-0000F0000000}"/>
    <hyperlink ref="A243" r:id="rId242" xr:uid="{00000000-0004-0000-0000-0000F1000000}"/>
    <hyperlink ref="A244" r:id="rId243" xr:uid="{00000000-0004-0000-0000-0000F2000000}"/>
    <hyperlink ref="A245" r:id="rId244" xr:uid="{00000000-0004-0000-0000-0000F3000000}"/>
    <hyperlink ref="A246" r:id="rId245" xr:uid="{00000000-0004-0000-0000-0000F4000000}"/>
    <hyperlink ref="A247" r:id="rId246" xr:uid="{00000000-0004-0000-0000-0000F5000000}"/>
    <hyperlink ref="A248" r:id="rId247" xr:uid="{00000000-0004-0000-0000-0000F6000000}"/>
    <hyperlink ref="A249" r:id="rId248" xr:uid="{00000000-0004-0000-0000-0000F7000000}"/>
    <hyperlink ref="A250" r:id="rId249" xr:uid="{00000000-0004-0000-0000-0000F8000000}"/>
    <hyperlink ref="A251" r:id="rId250" xr:uid="{00000000-0004-0000-0000-0000F9000000}"/>
    <hyperlink ref="A252" r:id="rId251" xr:uid="{00000000-0004-0000-0000-0000FA000000}"/>
    <hyperlink ref="A253" r:id="rId252" xr:uid="{00000000-0004-0000-0000-0000FB000000}"/>
    <hyperlink ref="A254" r:id="rId253" xr:uid="{00000000-0004-0000-0000-0000FC000000}"/>
    <hyperlink ref="A255" r:id="rId254" xr:uid="{00000000-0004-0000-0000-0000FD000000}"/>
    <hyperlink ref="A256" r:id="rId255" xr:uid="{00000000-0004-0000-0000-0000FE000000}"/>
    <hyperlink ref="A257" r:id="rId256" xr:uid="{00000000-0004-0000-0000-0000FF000000}"/>
    <hyperlink ref="A258" r:id="rId257" xr:uid="{00000000-0004-0000-0000-000000010000}"/>
    <hyperlink ref="A259" r:id="rId258" xr:uid="{00000000-0004-0000-0000-000001010000}"/>
    <hyperlink ref="A260" r:id="rId259" xr:uid="{00000000-0004-0000-0000-000002010000}"/>
    <hyperlink ref="A261" r:id="rId260" xr:uid="{00000000-0004-0000-0000-000003010000}"/>
    <hyperlink ref="A262" r:id="rId261" xr:uid="{00000000-0004-0000-0000-000004010000}"/>
    <hyperlink ref="A263" r:id="rId262" xr:uid="{00000000-0004-0000-0000-000005010000}"/>
    <hyperlink ref="A264" r:id="rId263" xr:uid="{00000000-0004-0000-0000-000006010000}"/>
    <hyperlink ref="A265" r:id="rId264" xr:uid="{00000000-0004-0000-0000-000007010000}"/>
    <hyperlink ref="A266" r:id="rId265" xr:uid="{00000000-0004-0000-0000-000008010000}"/>
    <hyperlink ref="A267" r:id="rId266" xr:uid="{00000000-0004-0000-0000-000009010000}"/>
    <hyperlink ref="A268" r:id="rId267" xr:uid="{00000000-0004-0000-0000-00000A010000}"/>
    <hyperlink ref="A269" r:id="rId268" xr:uid="{00000000-0004-0000-0000-00000B010000}"/>
    <hyperlink ref="A270" r:id="rId269" xr:uid="{00000000-0004-0000-0000-00000C010000}"/>
    <hyperlink ref="A271" r:id="rId270" xr:uid="{00000000-0004-0000-0000-00000D010000}"/>
    <hyperlink ref="A272" r:id="rId271" xr:uid="{00000000-0004-0000-0000-00000E010000}"/>
    <hyperlink ref="A273" r:id="rId272" xr:uid="{00000000-0004-0000-0000-00000F010000}"/>
    <hyperlink ref="A274" r:id="rId273" xr:uid="{00000000-0004-0000-0000-000010010000}"/>
    <hyperlink ref="A275" r:id="rId274" xr:uid="{00000000-0004-0000-0000-000011010000}"/>
    <hyperlink ref="A276" r:id="rId275" xr:uid="{00000000-0004-0000-0000-000012010000}"/>
    <hyperlink ref="A277" r:id="rId276" xr:uid="{00000000-0004-0000-0000-000013010000}"/>
    <hyperlink ref="A278" r:id="rId277" xr:uid="{00000000-0004-0000-0000-000014010000}"/>
    <hyperlink ref="A279" r:id="rId278" xr:uid="{00000000-0004-0000-0000-000015010000}"/>
    <hyperlink ref="A280" r:id="rId279" xr:uid="{00000000-0004-0000-0000-000016010000}"/>
    <hyperlink ref="A281" r:id="rId280" xr:uid="{00000000-0004-0000-0000-000017010000}"/>
    <hyperlink ref="A282" r:id="rId281" xr:uid="{00000000-0004-0000-0000-000018010000}"/>
    <hyperlink ref="A283" r:id="rId282" xr:uid="{00000000-0004-0000-0000-000019010000}"/>
    <hyperlink ref="A284" r:id="rId283" xr:uid="{00000000-0004-0000-0000-00001A010000}"/>
    <hyperlink ref="A285" r:id="rId284" xr:uid="{00000000-0004-0000-0000-00001B010000}"/>
    <hyperlink ref="A286" r:id="rId285" xr:uid="{00000000-0004-0000-0000-00001C010000}"/>
    <hyperlink ref="A287" r:id="rId286" xr:uid="{00000000-0004-0000-0000-00001D010000}"/>
    <hyperlink ref="A288" r:id="rId287" xr:uid="{00000000-0004-0000-0000-00001E010000}"/>
    <hyperlink ref="A289" r:id="rId288" xr:uid="{00000000-0004-0000-0000-00001F010000}"/>
    <hyperlink ref="A290" r:id="rId289" xr:uid="{00000000-0004-0000-0000-000020010000}"/>
    <hyperlink ref="A291" r:id="rId290" xr:uid="{00000000-0004-0000-0000-000021010000}"/>
    <hyperlink ref="A292" r:id="rId291" xr:uid="{00000000-0004-0000-0000-000022010000}"/>
    <hyperlink ref="A293" r:id="rId292" xr:uid="{00000000-0004-0000-0000-000023010000}"/>
    <hyperlink ref="A294" r:id="rId293" xr:uid="{00000000-0004-0000-0000-000024010000}"/>
    <hyperlink ref="A295" r:id="rId294" xr:uid="{00000000-0004-0000-0000-000025010000}"/>
    <hyperlink ref="A296" r:id="rId295" xr:uid="{00000000-0004-0000-0000-000026010000}"/>
    <hyperlink ref="A297" r:id="rId296" xr:uid="{00000000-0004-0000-0000-000027010000}"/>
    <hyperlink ref="A298" r:id="rId297" xr:uid="{00000000-0004-0000-0000-000028010000}"/>
    <hyperlink ref="A299" r:id="rId298" xr:uid="{00000000-0004-0000-0000-000029010000}"/>
    <hyperlink ref="A300" r:id="rId299" xr:uid="{00000000-0004-0000-0000-00002A010000}"/>
    <hyperlink ref="A301" r:id="rId300" xr:uid="{00000000-0004-0000-0000-00002B010000}"/>
    <hyperlink ref="A302" r:id="rId301" xr:uid="{00000000-0004-0000-0000-00002C010000}"/>
    <hyperlink ref="A303" r:id="rId302" xr:uid="{00000000-0004-0000-0000-00002D010000}"/>
    <hyperlink ref="A304" r:id="rId303" xr:uid="{00000000-0004-0000-0000-00002E010000}"/>
    <hyperlink ref="A305" r:id="rId304" xr:uid="{00000000-0004-0000-0000-00002F010000}"/>
    <hyperlink ref="A306" r:id="rId305" xr:uid="{00000000-0004-0000-0000-000030010000}"/>
    <hyperlink ref="A307" r:id="rId306" xr:uid="{00000000-0004-0000-0000-000031010000}"/>
    <hyperlink ref="A308" r:id="rId307" xr:uid="{00000000-0004-0000-0000-000032010000}"/>
    <hyperlink ref="A309" r:id="rId308" xr:uid="{00000000-0004-0000-0000-000033010000}"/>
    <hyperlink ref="A310" r:id="rId309" xr:uid="{00000000-0004-0000-0000-000034010000}"/>
    <hyperlink ref="A311" r:id="rId310" xr:uid="{00000000-0004-0000-0000-000035010000}"/>
    <hyperlink ref="A312" r:id="rId311" xr:uid="{00000000-0004-0000-0000-000036010000}"/>
    <hyperlink ref="A313" r:id="rId312" xr:uid="{00000000-0004-0000-0000-000037010000}"/>
    <hyperlink ref="A314" r:id="rId313" xr:uid="{00000000-0004-0000-0000-000038010000}"/>
    <hyperlink ref="A315" r:id="rId314" xr:uid="{00000000-0004-0000-0000-000039010000}"/>
    <hyperlink ref="A316" r:id="rId315" xr:uid="{00000000-0004-0000-0000-00003A010000}"/>
    <hyperlink ref="A317" r:id="rId316" xr:uid="{00000000-0004-0000-0000-00003B010000}"/>
    <hyperlink ref="A318" r:id="rId317" xr:uid="{00000000-0004-0000-0000-00003C010000}"/>
    <hyperlink ref="A319" r:id="rId318" xr:uid="{00000000-0004-0000-0000-00003D010000}"/>
    <hyperlink ref="A320" r:id="rId319" xr:uid="{00000000-0004-0000-0000-00003E010000}"/>
    <hyperlink ref="A321" r:id="rId320" xr:uid="{00000000-0004-0000-0000-00003F010000}"/>
    <hyperlink ref="A322" r:id="rId321" xr:uid="{00000000-0004-0000-0000-000040010000}"/>
    <hyperlink ref="A323" r:id="rId322" xr:uid="{00000000-0004-0000-0000-000041010000}"/>
    <hyperlink ref="A324" r:id="rId323" xr:uid="{00000000-0004-0000-0000-000042010000}"/>
    <hyperlink ref="A325" r:id="rId324" xr:uid="{00000000-0004-0000-0000-000043010000}"/>
    <hyperlink ref="A326" r:id="rId325" xr:uid="{00000000-0004-0000-0000-000044010000}"/>
    <hyperlink ref="A327" r:id="rId326" xr:uid="{00000000-0004-0000-0000-000045010000}"/>
    <hyperlink ref="A328" r:id="rId327" xr:uid="{00000000-0004-0000-0000-000046010000}"/>
    <hyperlink ref="A329" r:id="rId328" xr:uid="{00000000-0004-0000-0000-000047010000}"/>
    <hyperlink ref="A330" r:id="rId329" xr:uid="{00000000-0004-0000-0000-000048010000}"/>
    <hyperlink ref="A331" r:id="rId330" xr:uid="{00000000-0004-0000-0000-000049010000}"/>
    <hyperlink ref="A332" r:id="rId331" xr:uid="{00000000-0004-0000-0000-00004A010000}"/>
    <hyperlink ref="A333" r:id="rId332" xr:uid="{00000000-0004-0000-0000-00004B010000}"/>
    <hyperlink ref="A334" r:id="rId333" xr:uid="{00000000-0004-0000-0000-00004C010000}"/>
    <hyperlink ref="A335" r:id="rId334" xr:uid="{00000000-0004-0000-0000-00004D010000}"/>
    <hyperlink ref="A336" r:id="rId335" xr:uid="{00000000-0004-0000-0000-00004E010000}"/>
    <hyperlink ref="A337" r:id="rId336" xr:uid="{00000000-0004-0000-0000-00004F010000}"/>
    <hyperlink ref="A338" r:id="rId337" xr:uid="{00000000-0004-0000-0000-000050010000}"/>
    <hyperlink ref="A339" r:id="rId338" xr:uid="{00000000-0004-0000-0000-000051010000}"/>
    <hyperlink ref="A340" r:id="rId339" xr:uid="{00000000-0004-0000-0000-000052010000}"/>
    <hyperlink ref="A341" r:id="rId340" xr:uid="{00000000-0004-0000-0000-000053010000}"/>
    <hyperlink ref="A342" r:id="rId341" xr:uid="{00000000-0004-0000-0000-000054010000}"/>
    <hyperlink ref="A343" r:id="rId342" xr:uid="{00000000-0004-0000-0000-000055010000}"/>
    <hyperlink ref="A344" r:id="rId343" xr:uid="{00000000-0004-0000-0000-000056010000}"/>
    <hyperlink ref="A345" r:id="rId344" xr:uid="{00000000-0004-0000-0000-000057010000}"/>
    <hyperlink ref="A346" r:id="rId345" xr:uid="{00000000-0004-0000-0000-000058010000}"/>
    <hyperlink ref="A347" r:id="rId346" xr:uid="{00000000-0004-0000-0000-000059010000}"/>
    <hyperlink ref="A348" r:id="rId347" xr:uid="{00000000-0004-0000-0000-00005A010000}"/>
    <hyperlink ref="A349" r:id="rId348" xr:uid="{00000000-0004-0000-0000-00005B010000}"/>
    <hyperlink ref="A350" r:id="rId349" xr:uid="{00000000-0004-0000-0000-00005C010000}"/>
    <hyperlink ref="A351" r:id="rId350" xr:uid="{00000000-0004-0000-0000-00005D010000}"/>
    <hyperlink ref="A352" r:id="rId351" xr:uid="{00000000-0004-0000-0000-00005E010000}"/>
    <hyperlink ref="A353" r:id="rId352" xr:uid="{00000000-0004-0000-0000-00005F010000}"/>
    <hyperlink ref="A354" r:id="rId353" xr:uid="{00000000-0004-0000-0000-000060010000}"/>
    <hyperlink ref="A355" r:id="rId354" xr:uid="{00000000-0004-0000-0000-000061010000}"/>
    <hyperlink ref="A356" r:id="rId355" xr:uid="{00000000-0004-0000-0000-000062010000}"/>
    <hyperlink ref="A357" r:id="rId356" xr:uid="{00000000-0004-0000-0000-000063010000}"/>
    <hyperlink ref="A358" r:id="rId357" xr:uid="{00000000-0004-0000-0000-000064010000}"/>
    <hyperlink ref="A359" r:id="rId358" xr:uid="{00000000-0004-0000-0000-000065010000}"/>
    <hyperlink ref="A360" r:id="rId359" xr:uid="{00000000-0004-0000-0000-000066010000}"/>
    <hyperlink ref="A361" r:id="rId360" xr:uid="{00000000-0004-0000-0000-000067010000}"/>
    <hyperlink ref="A362" r:id="rId361" xr:uid="{00000000-0004-0000-0000-000068010000}"/>
    <hyperlink ref="A363" r:id="rId362" xr:uid="{00000000-0004-0000-0000-000069010000}"/>
    <hyperlink ref="A364" r:id="rId363" xr:uid="{00000000-0004-0000-0000-00006A010000}"/>
    <hyperlink ref="A365" r:id="rId364" xr:uid="{00000000-0004-0000-0000-00006B010000}"/>
    <hyperlink ref="A366" r:id="rId365" xr:uid="{00000000-0004-0000-0000-00006C010000}"/>
    <hyperlink ref="A367" r:id="rId366" xr:uid="{00000000-0004-0000-0000-00006D010000}"/>
    <hyperlink ref="A368" r:id="rId367" xr:uid="{00000000-0004-0000-0000-00006E010000}"/>
    <hyperlink ref="A369" r:id="rId368" xr:uid="{00000000-0004-0000-0000-00006F010000}"/>
    <hyperlink ref="A370" r:id="rId369" xr:uid="{00000000-0004-0000-0000-000070010000}"/>
    <hyperlink ref="A371" r:id="rId370" xr:uid="{00000000-0004-0000-0000-000071010000}"/>
    <hyperlink ref="A372" r:id="rId371" xr:uid="{00000000-0004-0000-0000-000072010000}"/>
    <hyperlink ref="A373" r:id="rId372" xr:uid="{00000000-0004-0000-0000-000073010000}"/>
    <hyperlink ref="A374" r:id="rId373" xr:uid="{00000000-0004-0000-0000-000074010000}"/>
    <hyperlink ref="A375" r:id="rId374" xr:uid="{00000000-0004-0000-0000-000075010000}"/>
    <hyperlink ref="A376" r:id="rId375" xr:uid="{00000000-0004-0000-0000-000076010000}"/>
    <hyperlink ref="A377" r:id="rId376" xr:uid="{00000000-0004-0000-0000-000077010000}"/>
    <hyperlink ref="A378" r:id="rId377" xr:uid="{00000000-0004-0000-0000-000078010000}"/>
    <hyperlink ref="A379" r:id="rId378" xr:uid="{00000000-0004-0000-0000-000079010000}"/>
    <hyperlink ref="A380" r:id="rId379" xr:uid="{00000000-0004-0000-0000-00007A010000}"/>
    <hyperlink ref="A381" r:id="rId380" xr:uid="{00000000-0004-0000-0000-00007B010000}"/>
    <hyperlink ref="A382" r:id="rId381" xr:uid="{00000000-0004-0000-0000-00007C010000}"/>
    <hyperlink ref="A383" r:id="rId382" xr:uid="{00000000-0004-0000-0000-00007D010000}"/>
    <hyperlink ref="A384" r:id="rId383" xr:uid="{00000000-0004-0000-0000-00007E010000}"/>
    <hyperlink ref="A385" r:id="rId384" xr:uid="{00000000-0004-0000-0000-00007F010000}"/>
    <hyperlink ref="A386" r:id="rId385" xr:uid="{00000000-0004-0000-0000-000080010000}"/>
    <hyperlink ref="A387" r:id="rId386" xr:uid="{00000000-0004-0000-0000-000081010000}"/>
    <hyperlink ref="A388" r:id="rId387" xr:uid="{00000000-0004-0000-0000-000082010000}"/>
    <hyperlink ref="A389" r:id="rId388" xr:uid="{00000000-0004-0000-0000-000083010000}"/>
    <hyperlink ref="A390" r:id="rId389" xr:uid="{00000000-0004-0000-0000-000084010000}"/>
    <hyperlink ref="A391" r:id="rId390" xr:uid="{00000000-0004-0000-0000-000085010000}"/>
    <hyperlink ref="A392" r:id="rId391" xr:uid="{00000000-0004-0000-0000-000086010000}"/>
    <hyperlink ref="A393" r:id="rId392" xr:uid="{00000000-0004-0000-0000-000087010000}"/>
    <hyperlink ref="A394" r:id="rId393" xr:uid="{00000000-0004-0000-0000-000088010000}"/>
    <hyperlink ref="A395" r:id="rId394" xr:uid="{00000000-0004-0000-0000-000089010000}"/>
    <hyperlink ref="A396" r:id="rId395" xr:uid="{00000000-0004-0000-0000-00008A010000}"/>
    <hyperlink ref="A397" r:id="rId396" xr:uid="{00000000-0004-0000-0000-00008B010000}"/>
    <hyperlink ref="A398" r:id="rId397" xr:uid="{00000000-0004-0000-0000-00008C010000}"/>
    <hyperlink ref="A399" r:id="rId398" xr:uid="{00000000-0004-0000-0000-00008D010000}"/>
    <hyperlink ref="A400" r:id="rId399" xr:uid="{00000000-0004-0000-0000-00008E010000}"/>
    <hyperlink ref="A401" r:id="rId400" xr:uid="{00000000-0004-0000-0000-00008F010000}"/>
    <hyperlink ref="A402" r:id="rId401" xr:uid="{00000000-0004-0000-0000-000090010000}"/>
    <hyperlink ref="A403" r:id="rId402" xr:uid="{00000000-0004-0000-0000-000091010000}"/>
    <hyperlink ref="A404" r:id="rId403" xr:uid="{00000000-0004-0000-0000-000092010000}"/>
    <hyperlink ref="A405" r:id="rId404" xr:uid="{00000000-0004-0000-0000-000093010000}"/>
    <hyperlink ref="A406" r:id="rId405" xr:uid="{00000000-0004-0000-0000-000094010000}"/>
    <hyperlink ref="A407" r:id="rId406" xr:uid="{00000000-0004-0000-0000-000095010000}"/>
    <hyperlink ref="A408" r:id="rId407" xr:uid="{00000000-0004-0000-0000-000096010000}"/>
    <hyperlink ref="A409" r:id="rId408" xr:uid="{00000000-0004-0000-0000-000097010000}"/>
    <hyperlink ref="A410" r:id="rId409" xr:uid="{00000000-0004-0000-0000-000098010000}"/>
    <hyperlink ref="A411" r:id="rId410" xr:uid="{00000000-0004-0000-0000-000099010000}"/>
    <hyperlink ref="A412" r:id="rId411" xr:uid="{00000000-0004-0000-0000-00009A010000}"/>
    <hyperlink ref="A413" r:id="rId412" xr:uid="{00000000-0004-0000-0000-00009B010000}"/>
    <hyperlink ref="A414" r:id="rId413" xr:uid="{00000000-0004-0000-0000-00009C010000}"/>
    <hyperlink ref="A415" r:id="rId414" xr:uid="{00000000-0004-0000-0000-00009D010000}"/>
    <hyperlink ref="A416" r:id="rId415" xr:uid="{00000000-0004-0000-0000-00009E010000}"/>
    <hyperlink ref="A417" r:id="rId416" xr:uid="{00000000-0004-0000-0000-00009F010000}"/>
    <hyperlink ref="A418" r:id="rId417" xr:uid="{00000000-0004-0000-0000-0000A0010000}"/>
    <hyperlink ref="A419" r:id="rId418" xr:uid="{00000000-0004-0000-0000-0000A1010000}"/>
    <hyperlink ref="A420" r:id="rId419" xr:uid="{00000000-0004-0000-0000-0000A2010000}"/>
    <hyperlink ref="A421" r:id="rId420" xr:uid="{00000000-0004-0000-0000-0000A3010000}"/>
    <hyperlink ref="A422" r:id="rId421" xr:uid="{00000000-0004-0000-0000-0000A4010000}"/>
    <hyperlink ref="A423" r:id="rId422" xr:uid="{00000000-0004-0000-0000-0000A5010000}"/>
    <hyperlink ref="A424" r:id="rId423" xr:uid="{00000000-0004-0000-0000-0000A6010000}"/>
    <hyperlink ref="A425" r:id="rId424" xr:uid="{00000000-0004-0000-0000-0000A7010000}"/>
    <hyperlink ref="A426" r:id="rId425" xr:uid="{00000000-0004-0000-0000-0000A8010000}"/>
    <hyperlink ref="A427" r:id="rId426" xr:uid="{00000000-0004-0000-0000-0000A9010000}"/>
    <hyperlink ref="A428" r:id="rId427" xr:uid="{00000000-0004-0000-0000-0000AA010000}"/>
    <hyperlink ref="A429" r:id="rId428" xr:uid="{00000000-0004-0000-0000-0000AB010000}"/>
    <hyperlink ref="A430" r:id="rId429" xr:uid="{00000000-0004-0000-0000-0000AC010000}"/>
    <hyperlink ref="A431" r:id="rId430" xr:uid="{00000000-0004-0000-0000-0000AD010000}"/>
    <hyperlink ref="A432" r:id="rId431" xr:uid="{00000000-0004-0000-0000-0000AE010000}"/>
    <hyperlink ref="A433" r:id="rId432" xr:uid="{00000000-0004-0000-0000-0000AF010000}"/>
    <hyperlink ref="A434" r:id="rId433" xr:uid="{00000000-0004-0000-0000-0000B0010000}"/>
    <hyperlink ref="A435" r:id="rId434" xr:uid="{00000000-0004-0000-0000-0000B1010000}"/>
    <hyperlink ref="A436" r:id="rId435" xr:uid="{00000000-0004-0000-0000-0000B2010000}"/>
    <hyperlink ref="A437" r:id="rId436" xr:uid="{00000000-0004-0000-0000-0000B3010000}"/>
    <hyperlink ref="A438" r:id="rId437" xr:uid="{00000000-0004-0000-0000-0000B4010000}"/>
    <hyperlink ref="A439" r:id="rId438" xr:uid="{00000000-0004-0000-0000-0000B5010000}"/>
    <hyperlink ref="A440" r:id="rId439" xr:uid="{00000000-0004-0000-0000-0000B6010000}"/>
    <hyperlink ref="A441" r:id="rId440" xr:uid="{00000000-0004-0000-0000-0000B7010000}"/>
    <hyperlink ref="A442" r:id="rId441" xr:uid="{00000000-0004-0000-0000-0000B8010000}"/>
    <hyperlink ref="A443" r:id="rId442" xr:uid="{00000000-0004-0000-0000-0000B9010000}"/>
    <hyperlink ref="A444" r:id="rId443" xr:uid="{00000000-0004-0000-0000-0000BA010000}"/>
    <hyperlink ref="A445" r:id="rId444" xr:uid="{00000000-0004-0000-0000-0000BB010000}"/>
    <hyperlink ref="A446" r:id="rId445" xr:uid="{00000000-0004-0000-0000-0000BC010000}"/>
    <hyperlink ref="A447" r:id="rId446" xr:uid="{00000000-0004-0000-0000-0000BD010000}"/>
    <hyperlink ref="A448" r:id="rId447" xr:uid="{00000000-0004-0000-0000-0000BE010000}"/>
    <hyperlink ref="A449" r:id="rId448" xr:uid="{00000000-0004-0000-0000-0000BF010000}"/>
    <hyperlink ref="A450" r:id="rId449" xr:uid="{00000000-0004-0000-0000-0000C0010000}"/>
    <hyperlink ref="A451" r:id="rId450" xr:uid="{00000000-0004-0000-0000-0000C1010000}"/>
    <hyperlink ref="A452" r:id="rId451" xr:uid="{00000000-0004-0000-0000-0000C2010000}"/>
    <hyperlink ref="A453" r:id="rId452" xr:uid="{00000000-0004-0000-0000-0000C3010000}"/>
    <hyperlink ref="A454" r:id="rId453" xr:uid="{00000000-0004-0000-0000-0000C4010000}"/>
    <hyperlink ref="A455" r:id="rId454" xr:uid="{00000000-0004-0000-0000-0000C5010000}"/>
    <hyperlink ref="A456" r:id="rId455" xr:uid="{00000000-0004-0000-0000-0000C6010000}"/>
    <hyperlink ref="A457" r:id="rId456" xr:uid="{00000000-0004-0000-0000-0000C7010000}"/>
    <hyperlink ref="A458" r:id="rId457" xr:uid="{00000000-0004-0000-0000-0000C8010000}"/>
    <hyperlink ref="A459" r:id="rId458" xr:uid="{00000000-0004-0000-0000-0000C9010000}"/>
    <hyperlink ref="A460" r:id="rId459" xr:uid="{00000000-0004-0000-0000-0000CA010000}"/>
    <hyperlink ref="A461" r:id="rId460" xr:uid="{00000000-0004-0000-0000-0000CB010000}"/>
    <hyperlink ref="A462" r:id="rId461" xr:uid="{00000000-0004-0000-0000-0000CC010000}"/>
    <hyperlink ref="A463" r:id="rId462" xr:uid="{00000000-0004-0000-0000-0000CD010000}"/>
    <hyperlink ref="A464" r:id="rId463" xr:uid="{00000000-0004-0000-0000-0000CE010000}"/>
    <hyperlink ref="A465" r:id="rId464" xr:uid="{00000000-0004-0000-0000-0000CF010000}"/>
    <hyperlink ref="A466" r:id="rId465" xr:uid="{00000000-0004-0000-0000-0000D0010000}"/>
    <hyperlink ref="A467" r:id="rId466" xr:uid="{00000000-0004-0000-0000-0000D1010000}"/>
    <hyperlink ref="A468" r:id="rId467" xr:uid="{00000000-0004-0000-0000-0000D2010000}"/>
    <hyperlink ref="A469" r:id="rId468" xr:uid="{00000000-0004-0000-0000-0000D3010000}"/>
    <hyperlink ref="A470" r:id="rId469" xr:uid="{00000000-0004-0000-0000-0000D4010000}"/>
    <hyperlink ref="A471" r:id="rId470" xr:uid="{00000000-0004-0000-0000-0000D5010000}"/>
    <hyperlink ref="A472" r:id="rId471" xr:uid="{00000000-0004-0000-0000-0000D6010000}"/>
    <hyperlink ref="A473" r:id="rId472" xr:uid="{00000000-0004-0000-0000-0000D7010000}"/>
    <hyperlink ref="A474" r:id="rId473" xr:uid="{00000000-0004-0000-0000-0000D8010000}"/>
    <hyperlink ref="A475" r:id="rId474" xr:uid="{00000000-0004-0000-0000-0000D9010000}"/>
    <hyperlink ref="A476" r:id="rId475" xr:uid="{00000000-0004-0000-0000-0000DA010000}"/>
    <hyperlink ref="A477" r:id="rId476" xr:uid="{00000000-0004-0000-0000-0000DB010000}"/>
    <hyperlink ref="A478" r:id="rId477" xr:uid="{00000000-0004-0000-0000-0000DC010000}"/>
    <hyperlink ref="A479" r:id="rId478" xr:uid="{00000000-0004-0000-0000-0000DD010000}"/>
    <hyperlink ref="A480" r:id="rId479" xr:uid="{00000000-0004-0000-0000-0000DE010000}"/>
    <hyperlink ref="A481" r:id="rId480" xr:uid="{00000000-0004-0000-0000-0000DF010000}"/>
    <hyperlink ref="A482" r:id="rId481" xr:uid="{00000000-0004-0000-0000-0000E0010000}"/>
    <hyperlink ref="A483" r:id="rId482" xr:uid="{00000000-0004-0000-0000-0000E1010000}"/>
    <hyperlink ref="A484" r:id="rId483" xr:uid="{00000000-0004-0000-0000-0000E2010000}"/>
    <hyperlink ref="A485" r:id="rId484" xr:uid="{00000000-0004-0000-0000-0000E3010000}"/>
    <hyperlink ref="A486" r:id="rId485" xr:uid="{00000000-0004-0000-0000-0000E4010000}"/>
    <hyperlink ref="A487" r:id="rId486" xr:uid="{00000000-0004-0000-0000-0000E5010000}"/>
    <hyperlink ref="A488" r:id="rId487" xr:uid="{00000000-0004-0000-0000-0000E6010000}"/>
    <hyperlink ref="A489" r:id="rId488" xr:uid="{00000000-0004-0000-0000-0000E7010000}"/>
    <hyperlink ref="A490" r:id="rId489" xr:uid="{00000000-0004-0000-0000-0000E8010000}"/>
    <hyperlink ref="A491" r:id="rId490" xr:uid="{00000000-0004-0000-0000-0000E9010000}"/>
    <hyperlink ref="A492" r:id="rId491" xr:uid="{00000000-0004-0000-0000-0000EA010000}"/>
    <hyperlink ref="A493" r:id="rId492" xr:uid="{00000000-0004-0000-0000-0000EB010000}"/>
    <hyperlink ref="A494" r:id="rId493" xr:uid="{00000000-0004-0000-0000-0000EC010000}"/>
    <hyperlink ref="A495" r:id="rId494" xr:uid="{00000000-0004-0000-0000-0000ED010000}"/>
    <hyperlink ref="A496" r:id="rId495" xr:uid="{00000000-0004-0000-0000-0000EE010000}"/>
    <hyperlink ref="A497" r:id="rId496" xr:uid="{00000000-0004-0000-0000-0000EF010000}"/>
    <hyperlink ref="A498" r:id="rId497" xr:uid="{00000000-0004-0000-0000-0000F0010000}"/>
    <hyperlink ref="A499" r:id="rId498" xr:uid="{00000000-0004-0000-0000-0000F1010000}"/>
    <hyperlink ref="A500" r:id="rId499" xr:uid="{00000000-0004-0000-0000-0000F2010000}"/>
    <hyperlink ref="A501" r:id="rId500" xr:uid="{00000000-0004-0000-0000-0000F3010000}"/>
    <hyperlink ref="A502" r:id="rId501" xr:uid="{00000000-0004-0000-0000-0000F4010000}"/>
    <hyperlink ref="A503" r:id="rId502" xr:uid="{00000000-0004-0000-0000-0000F5010000}"/>
    <hyperlink ref="A504" r:id="rId503" xr:uid="{00000000-0004-0000-0000-0000F6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504"/>
  <sheetViews>
    <sheetView workbookViewId="0"/>
  </sheetViews>
  <sheetFormatPr defaultColWidth="12.5703125" defaultRowHeight="15.75" customHeight="1"/>
  <sheetData>
    <row r="1" spans="1:3" ht="15.75" customHeight="1">
      <c r="A1" s="3" t="s">
        <v>0</v>
      </c>
      <c r="B1" s="3" t="s">
        <v>1</v>
      </c>
      <c r="C1" s="3" t="s">
        <v>2</v>
      </c>
    </row>
    <row r="2" spans="1:3" ht="15.75" customHeight="1">
      <c r="A2" s="3" t="s">
        <v>13</v>
      </c>
      <c r="B2" t="s">
        <v>516</v>
      </c>
      <c r="C2">
        <v>128.79</v>
      </c>
    </row>
    <row r="3" spans="1:3" ht="15.75" customHeight="1">
      <c r="A3" s="3" t="s">
        <v>14</v>
      </c>
      <c r="B3" t="s">
        <v>517</v>
      </c>
      <c r="C3">
        <v>13.02</v>
      </c>
    </row>
    <row r="4" spans="1:3" ht="15.75" customHeight="1">
      <c r="A4" s="3" t="s">
        <v>15</v>
      </c>
      <c r="B4" t="s">
        <v>518</v>
      </c>
      <c r="C4">
        <v>191.24</v>
      </c>
    </row>
    <row r="5" spans="1:3" ht="15.75" customHeight="1">
      <c r="A5" s="3" t="s">
        <v>16</v>
      </c>
      <c r="B5" t="s">
        <v>519</v>
      </c>
      <c r="C5">
        <v>143.41</v>
      </c>
    </row>
    <row r="6" spans="1:3" ht="15.75" customHeight="1">
      <c r="A6" s="3" t="s">
        <v>17</v>
      </c>
      <c r="B6" t="s">
        <v>520</v>
      </c>
      <c r="C6">
        <v>135.02000000000001</v>
      </c>
    </row>
    <row r="7" spans="1:3" ht="15.75" customHeight="1">
      <c r="A7" s="3" t="s">
        <v>18</v>
      </c>
      <c r="B7" t="s">
        <v>521</v>
      </c>
      <c r="C7">
        <v>104.88</v>
      </c>
    </row>
    <row r="8" spans="1:3" ht="15.75" customHeight="1">
      <c r="A8" s="3" t="s">
        <v>19</v>
      </c>
      <c r="B8" t="s">
        <v>522</v>
      </c>
      <c r="C8">
        <v>82.63</v>
      </c>
    </row>
    <row r="9" spans="1:3" ht="15.75" customHeight="1">
      <c r="A9" s="3" t="s">
        <v>20</v>
      </c>
      <c r="B9" t="s">
        <v>523</v>
      </c>
      <c r="C9">
        <v>338.06</v>
      </c>
    </row>
    <row r="10" spans="1:3" ht="15.75" customHeight="1">
      <c r="A10" s="3" t="s">
        <v>21</v>
      </c>
      <c r="B10" t="s">
        <v>524</v>
      </c>
      <c r="C10">
        <v>612.47</v>
      </c>
    </row>
    <row r="11" spans="1:3" ht="15.75" customHeight="1">
      <c r="A11" s="3" t="s">
        <v>22</v>
      </c>
      <c r="B11" t="s">
        <v>525</v>
      </c>
      <c r="C11">
        <v>183.07</v>
      </c>
    </row>
    <row r="12" spans="1:3" ht="15.75" customHeight="1">
      <c r="A12" s="3" t="s">
        <v>23</v>
      </c>
      <c r="B12" t="s">
        <v>526</v>
      </c>
      <c r="C12">
        <v>75.08</v>
      </c>
    </row>
    <row r="13" spans="1:3" ht="15.75" customHeight="1">
      <c r="A13" s="3" t="s">
        <v>24</v>
      </c>
      <c r="B13" t="s">
        <v>527</v>
      </c>
      <c r="C13">
        <v>232.94</v>
      </c>
    </row>
    <row r="14" spans="1:3" ht="15.75" customHeight="1">
      <c r="A14" s="3" t="s">
        <v>25</v>
      </c>
      <c r="B14" t="s">
        <v>528</v>
      </c>
      <c r="C14">
        <v>224.93</v>
      </c>
    </row>
    <row r="15" spans="1:3" ht="15.75" customHeight="1">
      <c r="A15" s="3" t="s">
        <v>26</v>
      </c>
      <c r="B15" t="s">
        <v>529</v>
      </c>
      <c r="C15">
        <v>78.97</v>
      </c>
    </row>
    <row r="16" spans="1:3" ht="15.75" customHeight="1">
      <c r="A16" s="3" t="s">
        <v>27</v>
      </c>
      <c r="B16" t="s">
        <v>530</v>
      </c>
      <c r="C16">
        <v>80.510000000000005</v>
      </c>
    </row>
    <row r="17" spans="1:3" ht="15.75" customHeight="1">
      <c r="A17" s="3" t="s">
        <v>28</v>
      </c>
      <c r="B17" t="s">
        <v>531</v>
      </c>
      <c r="C17">
        <v>18.13</v>
      </c>
    </row>
    <row r="18" spans="1:3" ht="15.75" customHeight="1">
      <c r="A18" s="3" t="s">
        <v>29</v>
      </c>
      <c r="B18" t="s">
        <v>532</v>
      </c>
      <c r="C18">
        <v>82.61</v>
      </c>
    </row>
    <row r="19" spans="1:3" ht="15.75" customHeight="1">
      <c r="A19" s="3" t="s">
        <v>30</v>
      </c>
      <c r="B19" t="s">
        <v>533</v>
      </c>
      <c r="C19">
        <v>65.97</v>
      </c>
    </row>
    <row r="20" spans="1:3" ht="15.75" customHeight="1">
      <c r="A20" s="3" t="s">
        <v>31</v>
      </c>
      <c r="B20" t="s">
        <v>534</v>
      </c>
      <c r="C20">
        <v>168.3</v>
      </c>
    </row>
    <row r="21" spans="1:3" ht="15.75" customHeight="1">
      <c r="A21" s="3" t="s">
        <v>32</v>
      </c>
      <c r="B21" t="s">
        <v>535</v>
      </c>
      <c r="C21">
        <v>248</v>
      </c>
    </row>
    <row r="22" spans="1:3" ht="15.75" customHeight="1">
      <c r="A22" s="3" t="s">
        <v>33</v>
      </c>
      <c r="B22" t="s">
        <v>536</v>
      </c>
      <c r="C22">
        <v>116.03</v>
      </c>
    </row>
    <row r="23" spans="1:3" ht="12.75">
      <c r="A23" s="3" t="s">
        <v>34</v>
      </c>
      <c r="B23" t="s">
        <v>537</v>
      </c>
      <c r="C23">
        <v>126.16</v>
      </c>
    </row>
    <row r="24" spans="1:3" ht="12.75">
      <c r="A24" s="3" t="s">
        <v>35</v>
      </c>
      <c r="B24" t="s">
        <v>538</v>
      </c>
      <c r="C24">
        <v>220.45</v>
      </c>
    </row>
    <row r="25" spans="1:3" ht="12.75">
      <c r="A25" s="3" t="s">
        <v>36</v>
      </c>
      <c r="B25" t="s">
        <v>539</v>
      </c>
      <c r="C25">
        <v>39.729999999999997</v>
      </c>
    </row>
    <row r="26" spans="1:3" ht="12.75">
      <c r="A26" s="3" t="s">
        <v>37</v>
      </c>
      <c r="B26" t="s">
        <v>540</v>
      </c>
      <c r="C26">
        <v>137.68</v>
      </c>
    </row>
    <row r="27" spans="1:3" ht="12.75">
      <c r="A27" s="3" t="s">
        <v>38</v>
      </c>
      <c r="B27" t="s">
        <v>541</v>
      </c>
      <c r="C27">
        <v>108.69</v>
      </c>
    </row>
    <row r="28" spans="1:3" ht="12.75">
      <c r="A28" s="3" t="s">
        <v>39</v>
      </c>
      <c r="B28" t="s">
        <v>542</v>
      </c>
      <c r="C28">
        <v>151.59</v>
      </c>
    </row>
    <row r="29" spans="1:3" ht="12.75">
      <c r="A29" s="3" t="s">
        <v>40</v>
      </c>
      <c r="B29" t="s">
        <v>543</v>
      </c>
      <c r="C29">
        <v>9.56</v>
      </c>
    </row>
    <row r="30" spans="1:3" ht="12.75">
      <c r="A30" s="3" t="s">
        <v>41</v>
      </c>
      <c r="B30" t="s">
        <v>544</v>
      </c>
      <c r="C30">
        <v>121.39</v>
      </c>
    </row>
    <row r="31" spans="1:3" ht="12.75">
      <c r="A31" s="3" t="s">
        <v>42</v>
      </c>
      <c r="B31" t="s">
        <v>545</v>
      </c>
      <c r="C31">
        <v>157.05000000000001</v>
      </c>
    </row>
    <row r="32" spans="1:3" ht="12.75">
      <c r="A32" s="3" t="s">
        <v>43</v>
      </c>
      <c r="B32" t="s">
        <v>546</v>
      </c>
      <c r="C32">
        <v>272.45</v>
      </c>
    </row>
    <row r="33" spans="1:3" ht="12.75">
      <c r="A33" s="3" t="s">
        <v>44</v>
      </c>
      <c r="B33" t="s">
        <v>547</v>
      </c>
      <c r="C33">
        <v>356.29</v>
      </c>
    </row>
    <row r="34" spans="1:3" ht="12.75">
      <c r="A34" s="3" t="s">
        <v>45</v>
      </c>
      <c r="B34" t="s">
        <v>548</v>
      </c>
      <c r="C34">
        <v>210.47</v>
      </c>
    </row>
    <row r="35" spans="1:3" ht="12.75">
      <c r="A35" s="3" t="s">
        <v>46</v>
      </c>
      <c r="B35" t="s">
        <v>549</v>
      </c>
      <c r="C35">
        <v>147.03</v>
      </c>
    </row>
    <row r="36" spans="1:3" ht="12.75">
      <c r="A36" s="3" t="s">
        <v>47</v>
      </c>
      <c r="B36" t="s">
        <v>550</v>
      </c>
      <c r="C36">
        <v>216.64</v>
      </c>
    </row>
    <row r="37" spans="1:3" ht="12.75">
      <c r="A37" s="3" t="s">
        <v>48</v>
      </c>
      <c r="B37" t="s">
        <v>551</v>
      </c>
      <c r="C37">
        <v>295.48</v>
      </c>
    </row>
    <row r="38" spans="1:3" ht="12.75">
      <c r="A38" s="3" t="s">
        <v>49</v>
      </c>
      <c r="B38" t="s">
        <v>552</v>
      </c>
      <c r="C38">
        <v>326.77</v>
      </c>
    </row>
    <row r="39" spans="1:3" ht="12.75">
      <c r="A39" s="3" t="s">
        <v>50</v>
      </c>
      <c r="B39" t="s">
        <v>553</v>
      </c>
      <c r="C39">
        <v>76.739999999999995</v>
      </c>
    </row>
    <row r="40" spans="1:3" ht="12.75">
      <c r="A40" s="3" t="s">
        <v>51</v>
      </c>
      <c r="B40" t="s">
        <v>554</v>
      </c>
      <c r="C40">
        <v>36.200000000000003</v>
      </c>
    </row>
    <row r="41" spans="1:3" ht="12.75">
      <c r="A41" s="3" t="s">
        <v>52</v>
      </c>
      <c r="B41" t="s">
        <v>555</v>
      </c>
      <c r="C41">
        <v>272.64</v>
      </c>
    </row>
    <row r="42" spans="1:3" ht="12.75">
      <c r="A42" s="3" t="s">
        <v>53</v>
      </c>
      <c r="B42" t="s">
        <v>556</v>
      </c>
      <c r="C42">
        <v>92.28</v>
      </c>
    </row>
    <row r="43" spans="1:3" ht="12.75">
      <c r="A43" s="3" t="s">
        <v>54</v>
      </c>
      <c r="B43" t="s">
        <v>557</v>
      </c>
      <c r="C43">
        <v>84.01</v>
      </c>
    </row>
    <row r="44" spans="1:3" ht="12.75">
      <c r="A44" s="3" t="s">
        <v>55</v>
      </c>
      <c r="B44" t="s">
        <v>558</v>
      </c>
      <c r="C44">
        <v>118.14</v>
      </c>
    </row>
    <row r="45" spans="1:3" ht="12.75">
      <c r="A45" s="3" t="s">
        <v>56</v>
      </c>
      <c r="B45" t="s">
        <v>559</v>
      </c>
      <c r="C45">
        <v>113.85</v>
      </c>
    </row>
    <row r="46" spans="1:3" ht="12.75">
      <c r="A46" s="3" t="s">
        <v>57</v>
      </c>
      <c r="B46" t="s">
        <v>560</v>
      </c>
      <c r="C46">
        <v>177.94</v>
      </c>
    </row>
    <row r="47" spans="1:3" ht="12.75">
      <c r="A47" s="3" t="s">
        <v>58</v>
      </c>
      <c r="B47" t="s">
        <v>561</v>
      </c>
      <c r="C47">
        <v>930</v>
      </c>
    </row>
    <row r="48" spans="1:3" ht="12.75">
      <c r="A48" s="3" t="s">
        <v>59</v>
      </c>
      <c r="B48" t="s">
        <v>562</v>
      </c>
      <c r="C48">
        <v>195.19</v>
      </c>
    </row>
    <row r="49" spans="1:3" ht="12.75">
      <c r="A49" s="3" t="s">
        <v>60</v>
      </c>
      <c r="B49" t="s">
        <v>563</v>
      </c>
      <c r="C49">
        <v>133.24</v>
      </c>
    </row>
    <row r="50" spans="1:3" ht="12.75">
      <c r="A50" s="3" t="s">
        <v>61</v>
      </c>
      <c r="B50" t="s">
        <v>564</v>
      </c>
      <c r="C50">
        <v>231.51</v>
      </c>
    </row>
    <row r="51" spans="1:3" ht="12.75">
      <c r="A51" s="3" t="s">
        <v>62</v>
      </c>
      <c r="B51" t="s">
        <v>565</v>
      </c>
      <c r="C51">
        <v>173.76</v>
      </c>
    </row>
    <row r="52" spans="1:3" ht="12.75">
      <c r="A52" s="3" t="s">
        <v>63</v>
      </c>
      <c r="B52" t="s">
        <v>566</v>
      </c>
      <c r="C52">
        <v>2641.75</v>
      </c>
    </row>
    <row r="53" spans="1:3" ht="12.75">
      <c r="A53" s="3" t="s">
        <v>64</v>
      </c>
      <c r="B53" t="s">
        <v>567</v>
      </c>
      <c r="C53">
        <v>233.87</v>
      </c>
    </row>
    <row r="54" spans="1:3" ht="12.75">
      <c r="A54" s="3" t="s">
        <v>65</v>
      </c>
      <c r="B54" t="s">
        <v>568</v>
      </c>
      <c r="C54">
        <v>30.96</v>
      </c>
    </row>
    <row r="55" spans="1:3" ht="12.75">
      <c r="A55" s="3" t="s">
        <v>66</v>
      </c>
      <c r="B55" t="s">
        <v>569</v>
      </c>
      <c r="C55">
        <v>56.34</v>
      </c>
    </row>
    <row r="56" spans="1:3" ht="12.75">
      <c r="A56" s="3" t="s">
        <v>67</v>
      </c>
      <c r="B56" t="s">
        <v>570</v>
      </c>
      <c r="C56">
        <v>36.549999999999997</v>
      </c>
    </row>
    <row r="57" spans="1:3" ht="12.75">
      <c r="A57" s="3" t="s">
        <v>68</v>
      </c>
      <c r="B57" t="s">
        <v>571</v>
      </c>
      <c r="C57">
        <v>33.89</v>
      </c>
    </row>
    <row r="58" spans="1:3" ht="12.75">
      <c r="A58" s="3" t="s">
        <v>69</v>
      </c>
      <c r="B58" t="s">
        <v>572</v>
      </c>
      <c r="C58">
        <v>73.42</v>
      </c>
    </row>
    <row r="59" spans="1:3" ht="12.75">
      <c r="A59" s="3" t="s">
        <v>70</v>
      </c>
      <c r="B59" t="s">
        <v>573</v>
      </c>
      <c r="C59">
        <v>238.25</v>
      </c>
    </row>
    <row r="60" spans="1:3" ht="12.75">
      <c r="A60" s="3" t="s">
        <v>71</v>
      </c>
      <c r="B60" t="s">
        <v>574</v>
      </c>
      <c r="C60">
        <v>25.63</v>
      </c>
    </row>
    <row r="61" spans="1:3" ht="12.75">
      <c r="A61" s="3" t="s">
        <v>72</v>
      </c>
      <c r="B61" t="s">
        <v>575</v>
      </c>
      <c r="C61">
        <v>59.94</v>
      </c>
    </row>
    <row r="62" spans="1:3" ht="12.75">
      <c r="A62" s="3" t="s">
        <v>73</v>
      </c>
      <c r="B62" t="s">
        <v>576</v>
      </c>
      <c r="C62">
        <v>109.21</v>
      </c>
    </row>
    <row r="63" spans="1:3" ht="12.75">
      <c r="A63" s="3" t="s">
        <v>74</v>
      </c>
      <c r="B63" t="s">
        <v>577</v>
      </c>
      <c r="C63">
        <v>234.64</v>
      </c>
    </row>
    <row r="64" spans="1:3" ht="12.75">
      <c r="A64" s="3" t="s">
        <v>75</v>
      </c>
      <c r="B64" t="s">
        <v>578</v>
      </c>
      <c r="C64">
        <v>307</v>
      </c>
    </row>
    <row r="65" spans="1:3" ht="12.75">
      <c r="A65" s="3" t="s">
        <v>76</v>
      </c>
      <c r="B65" t="s">
        <v>579</v>
      </c>
      <c r="C65">
        <v>48.71</v>
      </c>
    </row>
    <row r="66" spans="1:3" ht="12.75">
      <c r="A66" s="3" t="s">
        <v>77</v>
      </c>
      <c r="B66" t="s">
        <v>580</v>
      </c>
      <c r="C66">
        <v>3159.56</v>
      </c>
    </row>
    <row r="67" spans="1:3" ht="12.75">
      <c r="A67" s="3" t="s">
        <v>78</v>
      </c>
      <c r="B67" t="s">
        <v>581</v>
      </c>
      <c r="C67">
        <v>33.79</v>
      </c>
    </row>
    <row r="68" spans="1:3" ht="12.75">
      <c r="A68" s="3" t="s">
        <v>79</v>
      </c>
      <c r="B68" t="s">
        <v>582</v>
      </c>
      <c r="C68">
        <v>756.35</v>
      </c>
    </row>
    <row r="69" spans="1:3" ht="12.75">
      <c r="A69" s="3" t="s">
        <v>80</v>
      </c>
      <c r="B69" t="s">
        <v>583</v>
      </c>
      <c r="C69">
        <v>50.1</v>
      </c>
    </row>
    <row r="70" spans="1:3" ht="12.75">
      <c r="A70" s="3" t="s">
        <v>81</v>
      </c>
      <c r="B70" t="s">
        <v>584</v>
      </c>
      <c r="C70">
        <v>195.4</v>
      </c>
    </row>
    <row r="71" spans="1:3" ht="12.75">
      <c r="A71" s="3" t="s">
        <v>82</v>
      </c>
      <c r="B71" t="s">
        <v>585</v>
      </c>
      <c r="C71">
        <v>357.07</v>
      </c>
    </row>
    <row r="72" spans="1:3" ht="12.75">
      <c r="A72" s="3" t="s">
        <v>83</v>
      </c>
      <c r="B72" t="s">
        <v>586</v>
      </c>
      <c r="C72">
        <v>74.14</v>
      </c>
    </row>
    <row r="73" spans="1:3" ht="12.75">
      <c r="A73" s="3" t="s">
        <v>84</v>
      </c>
      <c r="B73" t="s">
        <v>587</v>
      </c>
      <c r="C73">
        <v>56.14</v>
      </c>
    </row>
    <row r="74" spans="1:3" ht="12.75">
      <c r="A74" s="3" t="s">
        <v>85</v>
      </c>
      <c r="B74" t="s">
        <v>588</v>
      </c>
      <c r="C74">
        <v>33.950000000000003</v>
      </c>
    </row>
    <row r="75" spans="1:3" ht="12.75">
      <c r="A75" s="3" t="s">
        <v>86</v>
      </c>
      <c r="B75" t="s">
        <v>589</v>
      </c>
      <c r="C75">
        <v>114.28</v>
      </c>
    </row>
    <row r="76" spans="1:3" ht="12.75">
      <c r="A76" s="3" t="s">
        <v>87</v>
      </c>
      <c r="B76" t="s">
        <v>590</v>
      </c>
      <c r="C76">
        <v>63.28</v>
      </c>
    </row>
    <row r="77" spans="1:3" ht="12.75">
      <c r="A77" s="3" t="s">
        <v>88</v>
      </c>
      <c r="B77" t="s">
        <v>591</v>
      </c>
      <c r="C77">
        <v>47.23</v>
      </c>
    </row>
    <row r="78" spans="1:3" ht="12.75">
      <c r="A78" s="3" t="s">
        <v>89</v>
      </c>
      <c r="B78" t="s">
        <v>592</v>
      </c>
      <c r="C78">
        <v>28.36</v>
      </c>
    </row>
    <row r="79" spans="1:3" ht="12.75">
      <c r="A79" s="3" t="s">
        <v>90</v>
      </c>
      <c r="B79" t="s">
        <v>593</v>
      </c>
      <c r="C79">
        <v>107.16</v>
      </c>
    </row>
    <row r="80" spans="1:3" ht="12.75">
      <c r="A80" s="3" t="s">
        <v>91</v>
      </c>
      <c r="B80" t="s">
        <v>594</v>
      </c>
      <c r="C80">
        <v>53.22</v>
      </c>
    </row>
    <row r="81" spans="1:3" ht="12.75">
      <c r="A81" s="3" t="s">
        <v>92</v>
      </c>
      <c r="B81" t="s">
        <v>595</v>
      </c>
      <c r="C81">
        <v>256.76</v>
      </c>
    </row>
    <row r="82" spans="1:3" ht="12.75">
      <c r="A82" s="3" t="s">
        <v>93</v>
      </c>
      <c r="B82" t="s">
        <v>596</v>
      </c>
      <c r="C82">
        <v>228.66</v>
      </c>
    </row>
    <row r="83" spans="1:3" ht="12.75">
      <c r="A83" s="3" t="s">
        <v>94</v>
      </c>
      <c r="B83" t="s">
        <v>597</v>
      </c>
      <c r="C83">
        <v>180.26</v>
      </c>
    </row>
    <row r="84" spans="1:3" ht="12.75">
      <c r="A84" s="3" t="s">
        <v>95</v>
      </c>
      <c r="B84" t="s">
        <v>598</v>
      </c>
      <c r="C84">
        <v>81.41</v>
      </c>
    </row>
    <row r="85" spans="1:3" ht="12.75">
      <c r="A85" s="3" t="s">
        <v>96</v>
      </c>
      <c r="B85" t="s">
        <v>599</v>
      </c>
      <c r="C85">
        <v>118.57</v>
      </c>
    </row>
    <row r="86" spans="1:3" ht="12.75">
      <c r="A86" s="3" t="s">
        <v>97</v>
      </c>
      <c r="B86" t="s">
        <v>600</v>
      </c>
      <c r="C86">
        <v>15.76</v>
      </c>
    </row>
    <row r="87" spans="1:3" ht="12.75">
      <c r="A87" s="3" t="s">
        <v>98</v>
      </c>
      <c r="B87" t="s">
        <v>601</v>
      </c>
      <c r="C87">
        <v>70.27</v>
      </c>
    </row>
    <row r="88" spans="1:3" ht="12.75">
      <c r="A88" s="3" t="s">
        <v>99</v>
      </c>
      <c r="B88" t="s">
        <v>602</v>
      </c>
      <c r="C88">
        <v>270.35000000000002</v>
      </c>
    </row>
    <row r="89" spans="1:3" ht="12.75">
      <c r="A89" s="3" t="s">
        <v>100</v>
      </c>
      <c r="B89" t="s">
        <v>603</v>
      </c>
      <c r="C89">
        <v>212.56</v>
      </c>
    </row>
    <row r="90" spans="1:3" ht="12.75">
      <c r="A90" s="3" t="s">
        <v>101</v>
      </c>
      <c r="B90" t="s">
        <v>604</v>
      </c>
      <c r="C90">
        <v>141.04</v>
      </c>
    </row>
    <row r="91" spans="1:3" ht="12.75">
      <c r="A91" s="3" t="s">
        <v>102</v>
      </c>
      <c r="B91" t="s">
        <v>605</v>
      </c>
      <c r="C91">
        <v>119.88</v>
      </c>
    </row>
    <row r="92" spans="1:3" ht="12.75">
      <c r="A92" s="3" t="s">
        <v>103</v>
      </c>
      <c r="B92" t="s">
        <v>606</v>
      </c>
      <c r="C92">
        <v>76.31</v>
      </c>
    </row>
    <row r="93" spans="1:3" ht="12.75">
      <c r="A93" s="3" t="s">
        <v>104</v>
      </c>
      <c r="B93" t="s">
        <v>607</v>
      </c>
      <c r="C93">
        <v>28.52</v>
      </c>
    </row>
    <row r="94" spans="1:3" ht="12.75">
      <c r="A94" s="3" t="s">
        <v>105</v>
      </c>
      <c r="B94" t="s">
        <v>608</v>
      </c>
      <c r="C94">
        <v>95.37</v>
      </c>
    </row>
    <row r="95" spans="1:3" ht="12.75">
      <c r="A95" s="3" t="s">
        <v>106</v>
      </c>
      <c r="B95" t="s">
        <v>609</v>
      </c>
      <c r="C95">
        <v>83.26</v>
      </c>
    </row>
    <row r="96" spans="1:3" ht="12.75">
      <c r="A96" s="3" t="s">
        <v>107</v>
      </c>
      <c r="B96" t="s">
        <v>610</v>
      </c>
      <c r="C96">
        <v>401.87</v>
      </c>
    </row>
    <row r="97" spans="1:3" ht="12.75">
      <c r="A97" s="3" t="s">
        <v>108</v>
      </c>
      <c r="B97" t="s">
        <v>611</v>
      </c>
      <c r="C97">
        <v>269.02</v>
      </c>
    </row>
    <row r="98" spans="1:3" ht="12.75">
      <c r="A98" s="3" t="s">
        <v>109</v>
      </c>
      <c r="B98" t="s">
        <v>612</v>
      </c>
      <c r="C98">
        <v>102.65</v>
      </c>
    </row>
    <row r="99" spans="1:3" ht="12.75">
      <c r="A99" s="3" t="s">
        <v>110</v>
      </c>
      <c r="B99" t="s">
        <v>613</v>
      </c>
      <c r="C99">
        <v>78.7</v>
      </c>
    </row>
    <row r="100" spans="1:3" ht="12.75">
      <c r="A100" s="3" t="s">
        <v>111</v>
      </c>
      <c r="B100" t="s">
        <v>614</v>
      </c>
      <c r="C100">
        <v>143.84</v>
      </c>
    </row>
    <row r="101" spans="1:3" ht="12.75">
      <c r="A101" s="3" t="s">
        <v>112</v>
      </c>
      <c r="B101" t="s">
        <v>615</v>
      </c>
      <c r="C101">
        <v>48.2</v>
      </c>
    </row>
    <row r="102" spans="1:3" ht="12.75">
      <c r="A102" s="3" t="s">
        <v>113</v>
      </c>
      <c r="B102" t="s">
        <v>616</v>
      </c>
      <c r="C102">
        <v>42.21</v>
      </c>
    </row>
    <row r="103" spans="1:3" ht="12.75">
      <c r="A103" s="3" t="s">
        <v>114</v>
      </c>
      <c r="B103" t="s">
        <v>617</v>
      </c>
      <c r="C103">
        <v>219.54</v>
      </c>
    </row>
    <row r="104" spans="1:3" ht="12.75">
      <c r="A104" s="3" t="s">
        <v>115</v>
      </c>
      <c r="B104" t="s">
        <v>618</v>
      </c>
      <c r="C104">
        <v>2233.83</v>
      </c>
    </row>
    <row r="105" spans="1:3" ht="12.75">
      <c r="A105" s="3" t="s">
        <v>116</v>
      </c>
      <c r="B105" t="s">
        <v>619</v>
      </c>
      <c r="C105">
        <v>226.31</v>
      </c>
    </row>
    <row r="106" spans="1:3" ht="12.75">
      <c r="A106" s="3" t="s">
        <v>117</v>
      </c>
      <c r="B106" t="s">
        <v>620</v>
      </c>
      <c r="C106">
        <v>58.4</v>
      </c>
    </row>
    <row r="107" spans="1:3" ht="12.75">
      <c r="A107" s="3" t="s">
        <v>118</v>
      </c>
      <c r="B107" t="s">
        <v>621</v>
      </c>
      <c r="C107">
        <v>74.88</v>
      </c>
    </row>
    <row r="108" spans="1:3" ht="12.75">
      <c r="A108" s="3" t="s">
        <v>119</v>
      </c>
      <c r="B108" t="s">
        <v>622</v>
      </c>
      <c r="C108">
        <v>28.79</v>
      </c>
    </row>
    <row r="109" spans="1:3" ht="12.75">
      <c r="A109" s="3" t="s">
        <v>120</v>
      </c>
      <c r="B109" t="s">
        <v>623</v>
      </c>
      <c r="C109">
        <v>113.93</v>
      </c>
    </row>
    <row r="110" spans="1:3" ht="12.75">
      <c r="A110" s="3" t="s">
        <v>121</v>
      </c>
      <c r="B110" t="s">
        <v>624</v>
      </c>
      <c r="C110">
        <v>341.08</v>
      </c>
    </row>
    <row r="111" spans="1:3" ht="12.75">
      <c r="A111" s="3" t="s">
        <v>122</v>
      </c>
      <c r="B111" t="s">
        <v>625</v>
      </c>
      <c r="C111">
        <v>115.23</v>
      </c>
    </row>
    <row r="112" spans="1:3" ht="12.75">
      <c r="A112" s="3" t="s">
        <v>123</v>
      </c>
      <c r="B112" t="s">
        <v>626</v>
      </c>
      <c r="C112">
        <v>204.09</v>
      </c>
    </row>
    <row r="113" spans="1:3" ht="12.75">
      <c r="A113" s="3" t="s">
        <v>124</v>
      </c>
      <c r="B113" t="s">
        <v>627</v>
      </c>
      <c r="C113">
        <v>596.25</v>
      </c>
    </row>
    <row r="114" spans="1:3" ht="12.75">
      <c r="A114" s="3" t="s">
        <v>125</v>
      </c>
      <c r="B114" t="s">
        <v>628</v>
      </c>
      <c r="C114">
        <v>40.6</v>
      </c>
    </row>
    <row r="115" spans="1:3" ht="12.75">
      <c r="A115" s="3" t="s">
        <v>126</v>
      </c>
      <c r="B115" t="s">
        <v>629</v>
      </c>
      <c r="C115">
        <v>50.13</v>
      </c>
    </row>
    <row r="116" spans="1:3" ht="12.75">
      <c r="A116" s="3" t="s">
        <v>127</v>
      </c>
      <c r="B116" t="s">
        <v>630</v>
      </c>
      <c r="C116">
        <v>92.62</v>
      </c>
    </row>
    <row r="117" spans="1:3" ht="12.75">
      <c r="A117" s="3" t="s">
        <v>128</v>
      </c>
      <c r="B117" t="s">
        <v>631</v>
      </c>
      <c r="C117">
        <v>201.68</v>
      </c>
    </row>
    <row r="118" spans="1:3" ht="12.75">
      <c r="A118" s="3" t="s">
        <v>129</v>
      </c>
      <c r="B118" t="s">
        <v>632</v>
      </c>
      <c r="C118">
        <v>260</v>
      </c>
    </row>
    <row r="119" spans="1:3" ht="12.75">
      <c r="A119" s="3" t="s">
        <v>130</v>
      </c>
      <c r="B119" t="s">
        <v>633</v>
      </c>
      <c r="C119">
        <v>48.47</v>
      </c>
    </row>
    <row r="120" spans="1:3" ht="12.75">
      <c r="A120" s="3" t="s">
        <v>131</v>
      </c>
      <c r="B120" t="s">
        <v>634</v>
      </c>
      <c r="C120">
        <v>85.28</v>
      </c>
    </row>
    <row r="121" spans="1:3" ht="12.75">
      <c r="A121" s="3" t="s">
        <v>132</v>
      </c>
      <c r="B121" t="s">
        <v>635</v>
      </c>
      <c r="C121">
        <v>33.4</v>
      </c>
    </row>
    <row r="122" spans="1:3" ht="12.75">
      <c r="A122" s="3" t="s">
        <v>133</v>
      </c>
      <c r="B122" t="s">
        <v>636</v>
      </c>
      <c r="C122">
        <v>558.25</v>
      </c>
    </row>
    <row r="123" spans="1:3" ht="12.75">
      <c r="A123" s="3" t="s">
        <v>134</v>
      </c>
      <c r="B123" t="s">
        <v>637</v>
      </c>
      <c r="C123">
        <v>40.15</v>
      </c>
    </row>
    <row r="124" spans="1:3" ht="12.75">
      <c r="A124" s="3" t="s">
        <v>135</v>
      </c>
      <c r="B124" t="s">
        <v>638</v>
      </c>
      <c r="C124">
        <v>26.14</v>
      </c>
    </row>
    <row r="125" spans="1:3" ht="12.75">
      <c r="A125" s="3" t="s">
        <v>136</v>
      </c>
      <c r="B125" t="s">
        <v>639</v>
      </c>
      <c r="C125">
        <v>70.819999999999993</v>
      </c>
    </row>
    <row r="126" spans="1:3" ht="12.75">
      <c r="A126" s="3" t="s">
        <v>137</v>
      </c>
      <c r="B126" t="s">
        <v>640</v>
      </c>
      <c r="C126">
        <v>46.2</v>
      </c>
    </row>
    <row r="127" spans="1:3" ht="12.75">
      <c r="A127" s="3" t="s">
        <v>138</v>
      </c>
      <c r="B127" t="s">
        <v>641</v>
      </c>
      <c r="C127">
        <v>68.48</v>
      </c>
    </row>
    <row r="128" spans="1:3" ht="12.75">
      <c r="A128" s="3" t="s">
        <v>139</v>
      </c>
      <c r="B128" t="s">
        <v>642</v>
      </c>
      <c r="C128">
        <v>144.81</v>
      </c>
    </row>
    <row r="129" spans="1:3" ht="12.75">
      <c r="A129" s="3" t="s">
        <v>140</v>
      </c>
      <c r="B129" t="s">
        <v>643</v>
      </c>
      <c r="C129">
        <v>46.75</v>
      </c>
    </row>
    <row r="130" spans="1:3" ht="12.75">
      <c r="A130" s="3" t="s">
        <v>141</v>
      </c>
      <c r="B130" t="s">
        <v>644</v>
      </c>
      <c r="C130">
        <v>46.67</v>
      </c>
    </row>
    <row r="131" spans="1:3" ht="12.75">
      <c r="A131" s="3" t="s">
        <v>142</v>
      </c>
      <c r="B131" t="s">
        <v>645</v>
      </c>
      <c r="C131">
        <v>38.049999999999997</v>
      </c>
    </row>
    <row r="132" spans="1:3" ht="12.75">
      <c r="A132" s="3" t="s">
        <v>143</v>
      </c>
      <c r="B132" t="s">
        <v>646</v>
      </c>
      <c r="C132">
        <v>72.41</v>
      </c>
    </row>
    <row r="133" spans="1:3" ht="12.75">
      <c r="A133" s="3" t="s">
        <v>144</v>
      </c>
      <c r="B133" t="s">
        <v>647</v>
      </c>
      <c r="C133">
        <v>368.81</v>
      </c>
    </row>
    <row r="134" spans="1:3" ht="12.75">
      <c r="A134" s="3" t="s">
        <v>145</v>
      </c>
      <c r="B134" t="s">
        <v>648</v>
      </c>
      <c r="C134">
        <v>95.62</v>
      </c>
    </row>
    <row r="135" spans="1:3" ht="12.75">
      <c r="A135" s="3" t="s">
        <v>146</v>
      </c>
      <c r="B135" t="s">
        <v>649</v>
      </c>
      <c r="C135">
        <v>134.69</v>
      </c>
    </row>
    <row r="136" spans="1:3" ht="12.75">
      <c r="A136" s="3" t="s">
        <v>147</v>
      </c>
      <c r="B136" t="s">
        <v>650</v>
      </c>
      <c r="C136">
        <v>136.16999999999999</v>
      </c>
    </row>
    <row r="137" spans="1:3" ht="12.75">
      <c r="A137" s="3" t="s">
        <v>148</v>
      </c>
      <c r="B137" t="s">
        <v>651</v>
      </c>
      <c r="C137">
        <v>130.86000000000001</v>
      </c>
    </row>
    <row r="138" spans="1:3" ht="12.75">
      <c r="A138" s="3" t="s">
        <v>149</v>
      </c>
      <c r="B138" t="s">
        <v>652</v>
      </c>
      <c r="C138">
        <v>223.48</v>
      </c>
    </row>
    <row r="139" spans="1:3" ht="12.75">
      <c r="A139" s="3" t="s">
        <v>150</v>
      </c>
      <c r="B139" t="s">
        <v>653</v>
      </c>
      <c r="C139">
        <v>92.58</v>
      </c>
    </row>
    <row r="140" spans="1:3" ht="12.75">
      <c r="A140" s="3" t="s">
        <v>151</v>
      </c>
      <c r="B140" t="s">
        <v>654</v>
      </c>
      <c r="C140">
        <v>138.61000000000001</v>
      </c>
    </row>
    <row r="141" spans="1:3" ht="12.75">
      <c r="A141" s="3" t="s">
        <v>152</v>
      </c>
      <c r="B141" t="s">
        <v>655</v>
      </c>
      <c r="C141">
        <v>126.15</v>
      </c>
    </row>
    <row r="142" spans="1:3" ht="12.75">
      <c r="A142" s="3" t="s">
        <v>153</v>
      </c>
      <c r="B142" t="s">
        <v>656</v>
      </c>
      <c r="C142">
        <v>143.21</v>
      </c>
    </row>
    <row r="143" spans="1:3" ht="12.75">
      <c r="A143" s="3" t="s">
        <v>154</v>
      </c>
      <c r="B143" t="s">
        <v>657</v>
      </c>
      <c r="C143">
        <v>52.3</v>
      </c>
    </row>
    <row r="144" spans="1:3" ht="12.75">
      <c r="A144" s="3" t="s">
        <v>155</v>
      </c>
      <c r="B144" t="s">
        <v>658</v>
      </c>
      <c r="C144">
        <v>397.18</v>
      </c>
    </row>
    <row r="145" spans="1:3" ht="12.75">
      <c r="A145" s="3" t="s">
        <v>156</v>
      </c>
      <c r="B145" t="s">
        <v>659</v>
      </c>
      <c r="C145">
        <v>159.91</v>
      </c>
    </row>
    <row r="146" spans="1:3" ht="12.75">
      <c r="A146" s="3" t="s">
        <v>157</v>
      </c>
      <c r="B146" t="s">
        <v>660</v>
      </c>
      <c r="C146">
        <v>108.17</v>
      </c>
    </row>
    <row r="147" spans="1:3" ht="12.75">
      <c r="A147" s="3" t="s">
        <v>158</v>
      </c>
      <c r="B147" t="s">
        <v>661</v>
      </c>
      <c r="C147">
        <v>92.64</v>
      </c>
    </row>
    <row r="148" spans="1:3" ht="12.75">
      <c r="A148" s="3" t="s">
        <v>159</v>
      </c>
      <c r="B148" t="s">
        <v>662</v>
      </c>
      <c r="C148">
        <v>104.31</v>
      </c>
    </row>
    <row r="149" spans="1:3" ht="12.75">
      <c r="A149" s="3" t="s">
        <v>160</v>
      </c>
      <c r="B149" t="s">
        <v>663</v>
      </c>
      <c r="C149">
        <v>45.17</v>
      </c>
    </row>
    <row r="150" spans="1:3" ht="12.75">
      <c r="A150" s="3" t="s">
        <v>161</v>
      </c>
      <c r="B150" t="s">
        <v>664</v>
      </c>
      <c r="C150">
        <v>116.62</v>
      </c>
    </row>
    <row r="151" spans="1:3" ht="12.75">
      <c r="A151" s="3" t="s">
        <v>162</v>
      </c>
      <c r="B151" t="s">
        <v>665</v>
      </c>
      <c r="C151">
        <v>137.76</v>
      </c>
    </row>
    <row r="152" spans="1:3" ht="12.75">
      <c r="A152" s="3" t="s">
        <v>163</v>
      </c>
      <c r="B152" t="s">
        <v>666</v>
      </c>
      <c r="C152">
        <v>41.73</v>
      </c>
    </row>
    <row r="153" spans="1:3" ht="12.75">
      <c r="A153" s="3" t="s">
        <v>164</v>
      </c>
      <c r="B153" t="s">
        <v>667</v>
      </c>
      <c r="C153">
        <v>192.4</v>
      </c>
    </row>
    <row r="154" spans="1:3" ht="12.75">
      <c r="A154" s="3" t="s">
        <v>165</v>
      </c>
      <c r="B154" t="s">
        <v>668</v>
      </c>
      <c r="C154">
        <v>91.68</v>
      </c>
    </row>
    <row r="155" spans="1:3" ht="12.75">
      <c r="A155" s="3" t="s">
        <v>166</v>
      </c>
      <c r="B155" t="s">
        <v>669</v>
      </c>
      <c r="C155">
        <v>222.12</v>
      </c>
    </row>
    <row r="156" spans="1:3" ht="12.75">
      <c r="A156" s="3" t="s">
        <v>167</v>
      </c>
      <c r="B156" t="s">
        <v>670</v>
      </c>
      <c r="C156">
        <v>407.63</v>
      </c>
    </row>
    <row r="157" spans="1:3" ht="12.75">
      <c r="A157" s="3" t="s">
        <v>168</v>
      </c>
      <c r="B157" t="s">
        <v>671</v>
      </c>
      <c r="C157">
        <v>67.48</v>
      </c>
    </row>
    <row r="158" spans="1:3" ht="12.75">
      <c r="A158" s="3" t="s">
        <v>169</v>
      </c>
      <c r="B158" t="s">
        <v>672</v>
      </c>
      <c r="C158">
        <v>131.94</v>
      </c>
    </row>
    <row r="159" spans="1:3" ht="12.75">
      <c r="A159" s="3" t="s">
        <v>170</v>
      </c>
      <c r="B159" t="s">
        <v>673</v>
      </c>
      <c r="C159">
        <v>483.12</v>
      </c>
    </row>
    <row r="160" spans="1:3" ht="12.75">
      <c r="A160" s="3" t="s">
        <v>171</v>
      </c>
      <c r="B160" t="s">
        <v>674</v>
      </c>
      <c r="C160">
        <v>85.46</v>
      </c>
    </row>
    <row r="161" spans="1:3" ht="12.75">
      <c r="A161" s="3" t="s">
        <v>172</v>
      </c>
      <c r="B161" t="s">
        <v>675</v>
      </c>
      <c r="C161">
        <v>90.12</v>
      </c>
    </row>
    <row r="162" spans="1:3" ht="12.75">
      <c r="A162" s="3" t="s">
        <v>173</v>
      </c>
      <c r="B162" t="s">
        <v>676</v>
      </c>
      <c r="C162">
        <v>106.52</v>
      </c>
    </row>
    <row r="163" spans="1:3" ht="12.75">
      <c r="A163" s="3" t="s">
        <v>174</v>
      </c>
      <c r="B163" t="s">
        <v>677</v>
      </c>
      <c r="C163">
        <v>123.6</v>
      </c>
    </row>
    <row r="164" spans="1:3" ht="12.75">
      <c r="A164" s="3" t="s">
        <v>175</v>
      </c>
      <c r="B164" t="s">
        <v>678</v>
      </c>
      <c r="C164">
        <v>258.89</v>
      </c>
    </row>
    <row r="165" spans="1:3" ht="12.75">
      <c r="A165" s="3" t="s">
        <v>176</v>
      </c>
      <c r="B165" t="s">
        <v>679</v>
      </c>
      <c r="C165">
        <v>824.42</v>
      </c>
    </row>
    <row r="166" spans="1:3" ht="12.75">
      <c r="A166" s="3" t="s">
        <v>177</v>
      </c>
      <c r="B166" t="s">
        <v>680</v>
      </c>
      <c r="C166">
        <v>58.54</v>
      </c>
    </row>
    <row r="167" spans="1:3" ht="12.75">
      <c r="A167" s="3" t="s">
        <v>178</v>
      </c>
      <c r="B167" t="s">
        <v>681</v>
      </c>
      <c r="C167">
        <v>40.24</v>
      </c>
    </row>
    <row r="168" spans="1:3" ht="12.75">
      <c r="A168" s="3" t="s">
        <v>179</v>
      </c>
      <c r="B168" t="s">
        <v>682</v>
      </c>
      <c r="C168">
        <v>60.78</v>
      </c>
    </row>
    <row r="169" spans="1:3" ht="12.75">
      <c r="A169" s="3" t="s">
        <v>180</v>
      </c>
      <c r="B169" t="s">
        <v>683</v>
      </c>
      <c r="C169">
        <v>220.66</v>
      </c>
    </row>
    <row r="170" spans="1:3" ht="12.75">
      <c r="A170" s="3" t="s">
        <v>181</v>
      </c>
      <c r="B170" t="s">
        <v>684</v>
      </c>
      <c r="C170">
        <v>230.46</v>
      </c>
    </row>
    <row r="171" spans="1:3" ht="12.75">
      <c r="A171" s="3" t="s">
        <v>182</v>
      </c>
      <c r="B171" t="s">
        <v>685</v>
      </c>
      <c r="C171">
        <v>102.03</v>
      </c>
    </row>
    <row r="172" spans="1:3" ht="12.75">
      <c r="A172" s="3" t="s">
        <v>183</v>
      </c>
      <c r="B172" t="s">
        <v>686</v>
      </c>
      <c r="C172">
        <v>82.04</v>
      </c>
    </row>
    <row r="173" spans="1:3" ht="12.75">
      <c r="A173" s="3" t="s">
        <v>184</v>
      </c>
      <c r="B173" t="s">
        <v>687</v>
      </c>
      <c r="C173">
        <v>51.76</v>
      </c>
    </row>
    <row r="174" spans="1:3" ht="12.75">
      <c r="A174" s="3" t="s">
        <v>185</v>
      </c>
      <c r="B174" t="s">
        <v>688</v>
      </c>
      <c r="C174">
        <v>68.36</v>
      </c>
    </row>
    <row r="175" spans="1:3" ht="12.75">
      <c r="A175" s="3" t="s">
        <v>186</v>
      </c>
      <c r="B175" t="s">
        <v>689</v>
      </c>
      <c r="C175">
        <v>38.99</v>
      </c>
    </row>
    <row r="176" spans="1:3" ht="12.75">
      <c r="A176" s="3" t="s">
        <v>187</v>
      </c>
      <c r="B176" t="s">
        <v>690</v>
      </c>
      <c r="C176">
        <v>120.09</v>
      </c>
    </row>
    <row r="177" spans="1:3" ht="12.75">
      <c r="A177" s="3" t="s">
        <v>188</v>
      </c>
      <c r="B177" t="s">
        <v>691</v>
      </c>
      <c r="C177">
        <v>139.31</v>
      </c>
    </row>
    <row r="178" spans="1:3" ht="12.75">
      <c r="A178" s="3" t="s">
        <v>189</v>
      </c>
      <c r="B178" t="s">
        <v>692</v>
      </c>
      <c r="C178">
        <v>134.37</v>
      </c>
    </row>
    <row r="179" spans="1:3" ht="12.75">
      <c r="A179" s="3" t="s">
        <v>190</v>
      </c>
      <c r="B179" t="s">
        <v>693</v>
      </c>
      <c r="C179">
        <v>10.58</v>
      </c>
    </row>
    <row r="180" spans="1:3" ht="12.75">
      <c r="A180" s="3" t="s">
        <v>191</v>
      </c>
      <c r="B180" t="s">
        <v>694</v>
      </c>
      <c r="C180">
        <v>154.27000000000001</v>
      </c>
    </row>
    <row r="181" spans="1:3" ht="12.75">
      <c r="A181" s="3" t="s">
        <v>192</v>
      </c>
      <c r="B181" t="s">
        <v>695</v>
      </c>
      <c r="C181">
        <v>60.82</v>
      </c>
    </row>
    <row r="182" spans="1:3" ht="12.75">
      <c r="A182" s="3" t="s">
        <v>193</v>
      </c>
      <c r="B182" t="s">
        <v>696</v>
      </c>
      <c r="C182">
        <v>39.24</v>
      </c>
    </row>
    <row r="183" spans="1:3" ht="12.75">
      <c r="A183" s="3" t="s">
        <v>194</v>
      </c>
      <c r="B183" t="s">
        <v>697</v>
      </c>
      <c r="C183">
        <v>455.17</v>
      </c>
    </row>
    <row r="184" spans="1:3" ht="12.75">
      <c r="A184" s="3" t="s">
        <v>195</v>
      </c>
      <c r="B184" t="s">
        <v>698</v>
      </c>
      <c r="C184">
        <v>264.42</v>
      </c>
    </row>
    <row r="185" spans="1:3" ht="12.75">
      <c r="A185" s="3" t="s">
        <v>196</v>
      </c>
      <c r="B185" t="s">
        <v>699</v>
      </c>
      <c r="C185">
        <v>37.36</v>
      </c>
    </row>
    <row r="186" spans="1:3" ht="12.75">
      <c r="A186" s="3" t="s">
        <v>197</v>
      </c>
      <c r="B186" t="s">
        <v>700</v>
      </c>
      <c r="C186">
        <v>172.6</v>
      </c>
    </row>
    <row r="187" spans="1:3" ht="12.75">
      <c r="A187" s="3" t="s">
        <v>198</v>
      </c>
      <c r="B187" t="s">
        <v>701</v>
      </c>
      <c r="C187">
        <v>130.61000000000001</v>
      </c>
    </row>
    <row r="188" spans="1:3" ht="12.75">
      <c r="A188" s="3" t="s">
        <v>199</v>
      </c>
      <c r="B188" t="s">
        <v>702</v>
      </c>
      <c r="C188">
        <v>1127.71</v>
      </c>
    </row>
    <row r="189" spans="1:3" ht="12.75">
      <c r="A189" s="3" t="s">
        <v>200</v>
      </c>
      <c r="B189" t="s">
        <v>703</v>
      </c>
      <c r="C189">
        <v>59.9</v>
      </c>
    </row>
    <row r="190" spans="1:3" ht="12.75">
      <c r="A190" s="3" t="s">
        <v>201</v>
      </c>
      <c r="B190" t="s">
        <v>704</v>
      </c>
      <c r="C190">
        <v>30.58</v>
      </c>
    </row>
    <row r="191" spans="1:3" ht="12.75">
      <c r="A191" s="3" t="s">
        <v>202</v>
      </c>
      <c r="B191" t="s">
        <v>705</v>
      </c>
      <c r="C191">
        <v>251.63</v>
      </c>
    </row>
    <row r="192" spans="1:3" ht="12.75">
      <c r="A192" s="3" t="s">
        <v>203</v>
      </c>
      <c r="B192" t="s">
        <v>706</v>
      </c>
      <c r="C192">
        <v>55.75</v>
      </c>
    </row>
    <row r="193" spans="1:3" ht="12.75">
      <c r="A193" s="3" t="s">
        <v>204</v>
      </c>
      <c r="B193" t="s">
        <v>707</v>
      </c>
      <c r="C193">
        <v>28.26</v>
      </c>
    </row>
    <row r="194" spans="1:3" ht="12.75">
      <c r="A194" s="3" t="s">
        <v>205</v>
      </c>
      <c r="B194" t="s">
        <v>708</v>
      </c>
      <c r="C194">
        <v>30.2</v>
      </c>
    </row>
    <row r="195" spans="1:3" ht="12.75">
      <c r="A195" s="3" t="s">
        <v>206</v>
      </c>
      <c r="B195" t="s">
        <v>709</v>
      </c>
      <c r="C195">
        <v>97.91</v>
      </c>
    </row>
    <row r="196" spans="1:3" ht="12.75">
      <c r="A196" s="3" t="s">
        <v>207</v>
      </c>
      <c r="B196" t="s">
        <v>710</v>
      </c>
      <c r="C196">
        <v>160.29</v>
      </c>
    </row>
    <row r="197" spans="1:3" ht="12.75">
      <c r="A197" s="3" t="s">
        <v>208</v>
      </c>
      <c r="B197" t="s">
        <v>711</v>
      </c>
      <c r="C197">
        <v>52.49</v>
      </c>
    </row>
    <row r="198" spans="1:3" ht="12.75">
      <c r="A198" s="3" t="s">
        <v>209</v>
      </c>
      <c r="B198" t="s">
        <v>712</v>
      </c>
      <c r="C198">
        <v>69.3</v>
      </c>
    </row>
    <row r="199" spans="1:3" ht="12.75">
      <c r="A199" s="3" t="s">
        <v>210</v>
      </c>
      <c r="B199" t="s">
        <v>713</v>
      </c>
      <c r="C199">
        <v>249.69</v>
      </c>
    </row>
    <row r="200" spans="1:3" ht="12.75">
      <c r="A200" s="3" t="s">
        <v>211</v>
      </c>
      <c r="B200" t="s">
        <v>714</v>
      </c>
      <c r="C200">
        <v>122.5</v>
      </c>
    </row>
    <row r="201" spans="1:3" ht="12.75">
      <c r="A201" s="3" t="s">
        <v>212</v>
      </c>
      <c r="B201" t="s">
        <v>715</v>
      </c>
      <c r="C201">
        <v>69.41</v>
      </c>
    </row>
    <row r="202" spans="1:3" ht="12.75">
      <c r="A202" s="3" t="s">
        <v>213</v>
      </c>
      <c r="B202" t="s">
        <v>716</v>
      </c>
      <c r="C202">
        <v>22.34</v>
      </c>
    </row>
    <row r="203" spans="1:3" ht="12.75">
      <c r="A203" s="3" t="s">
        <v>214</v>
      </c>
      <c r="B203" t="s">
        <v>717</v>
      </c>
      <c r="C203">
        <v>77.650000000000006</v>
      </c>
    </row>
    <row r="204" spans="1:3" ht="12.75">
      <c r="A204" s="3" t="s">
        <v>215</v>
      </c>
      <c r="B204" t="s">
        <v>718</v>
      </c>
      <c r="C204">
        <v>64.13</v>
      </c>
    </row>
    <row r="205" spans="1:3" ht="12.75">
      <c r="A205" s="3" t="s">
        <v>216</v>
      </c>
      <c r="B205" t="s">
        <v>719</v>
      </c>
      <c r="C205">
        <v>123.34</v>
      </c>
    </row>
    <row r="206" spans="1:3" ht="12.75">
      <c r="A206" s="3" t="s">
        <v>217</v>
      </c>
      <c r="B206" t="s">
        <v>720</v>
      </c>
      <c r="C206">
        <v>28.84</v>
      </c>
    </row>
    <row r="207" spans="1:3" ht="12.75">
      <c r="A207" s="3" t="s">
        <v>218</v>
      </c>
      <c r="B207" t="s">
        <v>721</v>
      </c>
      <c r="C207">
        <v>32.36</v>
      </c>
    </row>
    <row r="208" spans="1:3" ht="12.75">
      <c r="A208" s="3" t="s">
        <v>219</v>
      </c>
      <c r="B208" t="s">
        <v>722</v>
      </c>
      <c r="C208">
        <v>122.3</v>
      </c>
    </row>
    <row r="209" spans="1:3" ht="12.75">
      <c r="A209" s="3" t="s">
        <v>220</v>
      </c>
      <c r="B209" t="s">
        <v>723</v>
      </c>
      <c r="C209">
        <v>133.32</v>
      </c>
    </row>
    <row r="210" spans="1:3" ht="12.75">
      <c r="A210" s="3" t="s">
        <v>221</v>
      </c>
      <c r="B210" t="s">
        <v>724</v>
      </c>
      <c r="C210">
        <v>131.86000000000001</v>
      </c>
    </row>
    <row r="211" spans="1:3" ht="12.75">
      <c r="A211" s="3" t="s">
        <v>222</v>
      </c>
      <c r="B211" t="s">
        <v>725</v>
      </c>
      <c r="C211">
        <v>134.69999999999999</v>
      </c>
    </row>
    <row r="212" spans="1:3" ht="12.75">
      <c r="A212" s="3" t="s">
        <v>223</v>
      </c>
      <c r="B212" t="s">
        <v>726</v>
      </c>
      <c r="C212">
        <v>119.79</v>
      </c>
    </row>
    <row r="213" spans="1:3" ht="12.75">
      <c r="A213" s="3" t="s">
        <v>224</v>
      </c>
      <c r="B213" t="s">
        <v>727</v>
      </c>
      <c r="C213">
        <v>123.64</v>
      </c>
    </row>
    <row r="214" spans="1:3" ht="12.75">
      <c r="A214" s="3" t="s">
        <v>225</v>
      </c>
      <c r="B214" t="s">
        <v>728</v>
      </c>
      <c r="C214">
        <v>348.43</v>
      </c>
    </row>
    <row r="215" spans="1:3" ht="12.75">
      <c r="A215" s="3" t="s">
        <v>226</v>
      </c>
      <c r="B215" t="s">
        <v>729</v>
      </c>
      <c r="C215">
        <v>803.58</v>
      </c>
    </row>
    <row r="216" spans="1:3" ht="12.75">
      <c r="A216" s="3" t="s">
        <v>227</v>
      </c>
      <c r="B216" t="s">
        <v>730</v>
      </c>
      <c r="C216">
        <v>37.71</v>
      </c>
    </row>
    <row r="217" spans="1:3" ht="12.75">
      <c r="A217" s="3" t="s">
        <v>228</v>
      </c>
      <c r="B217" t="s">
        <v>731</v>
      </c>
      <c r="C217">
        <v>48.46</v>
      </c>
    </row>
    <row r="218" spans="1:3" ht="12.75">
      <c r="A218" s="3" t="s">
        <v>229</v>
      </c>
      <c r="B218" t="s">
        <v>732</v>
      </c>
      <c r="C218">
        <v>11.74</v>
      </c>
    </row>
    <row r="219" spans="1:3" ht="12.75">
      <c r="A219" s="3" t="s">
        <v>230</v>
      </c>
      <c r="B219" t="s">
        <v>733</v>
      </c>
      <c r="C219">
        <v>252.36</v>
      </c>
    </row>
    <row r="220" spans="1:3" ht="12.75">
      <c r="A220" s="3" t="s">
        <v>231</v>
      </c>
      <c r="B220" t="s">
        <v>734</v>
      </c>
      <c r="C220">
        <v>319.62</v>
      </c>
    </row>
    <row r="221" spans="1:3" ht="12.75">
      <c r="A221" s="3" t="s">
        <v>232</v>
      </c>
      <c r="B221" t="s">
        <v>735</v>
      </c>
      <c r="C221">
        <v>141.07</v>
      </c>
    </row>
    <row r="222" spans="1:3" ht="12.75">
      <c r="A222" s="3" t="s">
        <v>233</v>
      </c>
      <c r="B222" t="s">
        <v>736</v>
      </c>
      <c r="C222">
        <v>77.819999999999993</v>
      </c>
    </row>
    <row r="223" spans="1:3" ht="12.75">
      <c r="A223" s="3" t="s">
        <v>234</v>
      </c>
      <c r="B223" t="s">
        <v>737</v>
      </c>
      <c r="C223">
        <v>238.74</v>
      </c>
    </row>
    <row r="224" spans="1:3" ht="12.75">
      <c r="A224" s="3" t="s">
        <v>235</v>
      </c>
      <c r="B224" t="s">
        <v>738</v>
      </c>
      <c r="C224">
        <v>170.84</v>
      </c>
    </row>
    <row r="225" spans="1:3" ht="12.75">
      <c r="A225" s="3" t="s">
        <v>236</v>
      </c>
      <c r="B225" t="s">
        <v>739</v>
      </c>
      <c r="C225">
        <v>71.150000000000006</v>
      </c>
    </row>
    <row r="226" spans="1:3" ht="12.75">
      <c r="A226" s="3" t="s">
        <v>237</v>
      </c>
      <c r="B226" t="s">
        <v>740</v>
      </c>
      <c r="C226">
        <v>197.78</v>
      </c>
    </row>
    <row r="227" spans="1:3" ht="12.75">
      <c r="A227" s="3" t="s">
        <v>238</v>
      </c>
      <c r="B227" t="s">
        <v>741</v>
      </c>
      <c r="C227">
        <v>16.89</v>
      </c>
    </row>
    <row r="228" spans="1:3" ht="12.75">
      <c r="A228" s="3" t="s">
        <v>239</v>
      </c>
      <c r="B228" t="s">
        <v>742</v>
      </c>
      <c r="C228">
        <v>29.5</v>
      </c>
    </row>
    <row r="229" spans="1:3" ht="12.75">
      <c r="A229" s="3" t="s">
        <v>240</v>
      </c>
      <c r="B229" t="s">
        <v>743</v>
      </c>
      <c r="C229">
        <v>31.32</v>
      </c>
    </row>
    <row r="230" spans="1:3" ht="12.75">
      <c r="A230" s="3" t="s">
        <v>241</v>
      </c>
      <c r="B230" t="s">
        <v>744</v>
      </c>
      <c r="C230">
        <v>69.540000000000006</v>
      </c>
    </row>
    <row r="231" spans="1:3" ht="12.75">
      <c r="A231" s="3" t="s">
        <v>242</v>
      </c>
      <c r="B231" t="s">
        <v>745</v>
      </c>
      <c r="C231">
        <v>17.72</v>
      </c>
    </row>
    <row r="232" spans="1:3" ht="12.75">
      <c r="A232" s="3" t="s">
        <v>243</v>
      </c>
      <c r="B232" t="s">
        <v>746</v>
      </c>
      <c r="C232">
        <v>190.98</v>
      </c>
    </row>
    <row r="233" spans="1:3" ht="12.75">
      <c r="A233" s="3" t="s">
        <v>244</v>
      </c>
      <c r="B233" t="s">
        <v>747</v>
      </c>
      <c r="C233">
        <v>303.48</v>
      </c>
    </row>
    <row r="234" spans="1:3" ht="12.75">
      <c r="A234" s="3" t="s">
        <v>245</v>
      </c>
      <c r="B234" t="s">
        <v>748</v>
      </c>
      <c r="C234">
        <v>495.21</v>
      </c>
    </row>
    <row r="235" spans="1:3" ht="12.75">
      <c r="A235" s="3" t="s">
        <v>246</v>
      </c>
      <c r="B235" t="s">
        <v>749</v>
      </c>
      <c r="C235">
        <v>52.9</v>
      </c>
    </row>
    <row r="236" spans="1:3" ht="12.75">
      <c r="A236" s="3" t="s">
        <v>247</v>
      </c>
      <c r="B236" t="s">
        <v>750</v>
      </c>
      <c r="C236">
        <v>160.55000000000001</v>
      </c>
    </row>
    <row r="237" spans="1:3" ht="12.75">
      <c r="A237" s="3" t="s">
        <v>248</v>
      </c>
      <c r="B237" t="s">
        <v>751</v>
      </c>
      <c r="C237">
        <v>114.24</v>
      </c>
    </row>
    <row r="238" spans="1:3" ht="12.75">
      <c r="A238" s="3" t="s">
        <v>249</v>
      </c>
      <c r="B238" t="s">
        <v>752</v>
      </c>
      <c r="C238">
        <v>482.6</v>
      </c>
    </row>
    <row r="239" spans="1:3" ht="12.75">
      <c r="A239" s="3" t="s">
        <v>250</v>
      </c>
      <c r="B239" t="s">
        <v>753</v>
      </c>
      <c r="C239">
        <v>203.04</v>
      </c>
    </row>
    <row r="240" spans="1:3" ht="12.75">
      <c r="A240" s="3" t="s">
        <v>251</v>
      </c>
      <c r="B240" t="s">
        <v>754</v>
      </c>
      <c r="C240">
        <v>76.78</v>
      </c>
    </row>
    <row r="241" spans="1:3" ht="12.75">
      <c r="A241" s="3" t="s">
        <v>252</v>
      </c>
      <c r="B241" t="s">
        <v>755</v>
      </c>
      <c r="C241">
        <v>109.79</v>
      </c>
    </row>
    <row r="242" spans="1:3" ht="12.75">
      <c r="A242" s="3" t="s">
        <v>253</v>
      </c>
      <c r="B242" t="s">
        <v>756</v>
      </c>
      <c r="C242">
        <v>54.02</v>
      </c>
    </row>
    <row r="243" spans="1:3" ht="12.75">
      <c r="A243" s="3" t="s">
        <v>254</v>
      </c>
      <c r="B243" t="s">
        <v>757</v>
      </c>
      <c r="C243">
        <v>43.74</v>
      </c>
    </row>
    <row r="244" spans="1:3" ht="12.75">
      <c r="A244" s="3" t="s">
        <v>255</v>
      </c>
      <c r="B244" t="s">
        <v>758</v>
      </c>
      <c r="C244">
        <v>574.32000000000005</v>
      </c>
    </row>
    <row r="245" spans="1:3" ht="12.75">
      <c r="A245" s="3" t="s">
        <v>256</v>
      </c>
      <c r="B245" t="s">
        <v>759</v>
      </c>
      <c r="C245">
        <v>34.03</v>
      </c>
    </row>
    <row r="246" spans="1:3" ht="12.75">
      <c r="A246" s="3" t="s">
        <v>257</v>
      </c>
      <c r="B246" t="s">
        <v>760</v>
      </c>
      <c r="C246">
        <v>37.19</v>
      </c>
    </row>
    <row r="247" spans="1:3" ht="12.75">
      <c r="A247" s="3" t="s">
        <v>258</v>
      </c>
      <c r="B247" t="s">
        <v>761</v>
      </c>
      <c r="C247">
        <v>31.31</v>
      </c>
    </row>
    <row r="248" spans="1:3" ht="12.75">
      <c r="A248" s="3" t="s">
        <v>259</v>
      </c>
      <c r="B248" t="s">
        <v>762</v>
      </c>
      <c r="C248">
        <v>216.91</v>
      </c>
    </row>
    <row r="249" spans="1:3" ht="12.75">
      <c r="A249" s="3" t="s">
        <v>260</v>
      </c>
      <c r="B249" t="s">
        <v>763</v>
      </c>
      <c r="C249">
        <v>72.239999999999995</v>
      </c>
    </row>
    <row r="250" spans="1:3" ht="12.75">
      <c r="A250" s="3" t="s">
        <v>261</v>
      </c>
      <c r="B250" t="s">
        <v>764</v>
      </c>
      <c r="C250">
        <v>65.489999999999995</v>
      </c>
    </row>
    <row r="251" spans="1:3" ht="12.75">
      <c r="A251" s="3" t="s">
        <v>262</v>
      </c>
      <c r="B251" t="s">
        <v>765</v>
      </c>
      <c r="C251">
        <v>315.2</v>
      </c>
    </row>
    <row r="252" spans="1:3" ht="12.75">
      <c r="A252" s="3" t="s">
        <v>263</v>
      </c>
      <c r="B252" t="s">
        <v>766</v>
      </c>
      <c r="C252">
        <v>441.14</v>
      </c>
    </row>
    <row r="253" spans="1:3" ht="12.75">
      <c r="A253" s="3" t="s">
        <v>264</v>
      </c>
      <c r="B253" t="s">
        <v>767</v>
      </c>
      <c r="C253">
        <v>245.24</v>
      </c>
    </row>
    <row r="254" spans="1:3" ht="12.75">
      <c r="A254" s="3" t="s">
        <v>265</v>
      </c>
      <c r="B254" t="s">
        <v>768</v>
      </c>
      <c r="C254">
        <v>14.86</v>
      </c>
    </row>
    <row r="255" spans="1:3" ht="12.75">
      <c r="A255" s="3" t="s">
        <v>266</v>
      </c>
      <c r="B255" t="s">
        <v>769</v>
      </c>
      <c r="C255">
        <v>129.56</v>
      </c>
    </row>
    <row r="256" spans="1:3" ht="12.75">
      <c r="A256" s="3" t="s">
        <v>267</v>
      </c>
      <c r="B256" t="s">
        <v>770</v>
      </c>
      <c r="C256">
        <v>189.8</v>
      </c>
    </row>
    <row r="257" spans="1:3" ht="12.75">
      <c r="A257" s="3" t="s">
        <v>268</v>
      </c>
      <c r="B257" t="s">
        <v>771</v>
      </c>
      <c r="C257">
        <v>53.89</v>
      </c>
    </row>
    <row r="258" spans="1:3" ht="12.75">
      <c r="A258" s="3" t="s">
        <v>269</v>
      </c>
      <c r="B258" t="s">
        <v>772</v>
      </c>
      <c r="C258">
        <v>160.79</v>
      </c>
    </row>
    <row r="259" spans="1:3" ht="12.75">
      <c r="A259" s="3" t="s">
        <v>270</v>
      </c>
      <c r="B259" t="s">
        <v>773</v>
      </c>
      <c r="C259">
        <v>158.38</v>
      </c>
    </row>
    <row r="260" spans="1:3" ht="12.75">
      <c r="A260" s="3" t="s">
        <v>271</v>
      </c>
      <c r="B260" t="s">
        <v>774</v>
      </c>
      <c r="C260">
        <v>28.57</v>
      </c>
    </row>
    <row r="261" spans="1:3" ht="12.75">
      <c r="A261" s="3" t="s">
        <v>272</v>
      </c>
      <c r="B261" t="s">
        <v>775</v>
      </c>
      <c r="C261">
        <v>156.84</v>
      </c>
    </row>
    <row r="262" spans="1:3" ht="12.75">
      <c r="A262" s="3" t="s">
        <v>273</v>
      </c>
      <c r="B262" t="s">
        <v>776</v>
      </c>
      <c r="C262">
        <v>52.88</v>
      </c>
    </row>
    <row r="263" spans="1:3" ht="12.75">
      <c r="A263" s="3" t="s">
        <v>274</v>
      </c>
      <c r="B263" t="s">
        <v>777</v>
      </c>
      <c r="C263">
        <v>32.17</v>
      </c>
    </row>
    <row r="264" spans="1:3" ht="12.75">
      <c r="A264" s="3" t="s">
        <v>275</v>
      </c>
      <c r="B264" t="s">
        <v>778</v>
      </c>
      <c r="C264">
        <v>13.22</v>
      </c>
    </row>
    <row r="265" spans="1:3" ht="12.75">
      <c r="A265" s="3" t="s">
        <v>276</v>
      </c>
      <c r="B265" t="s">
        <v>779</v>
      </c>
      <c r="C265">
        <v>137.88</v>
      </c>
    </row>
    <row r="266" spans="1:3" ht="12.75">
      <c r="A266" s="3" t="s">
        <v>277</v>
      </c>
      <c r="B266" t="s">
        <v>780</v>
      </c>
      <c r="C266">
        <v>35.520000000000003</v>
      </c>
    </row>
    <row r="267" spans="1:3" ht="12.75">
      <c r="A267" s="3" t="s">
        <v>278</v>
      </c>
      <c r="B267" t="s">
        <v>781</v>
      </c>
      <c r="C267">
        <v>20.05</v>
      </c>
    </row>
    <row r="268" spans="1:3" ht="12.75">
      <c r="A268" s="3" t="s">
        <v>279</v>
      </c>
      <c r="B268" t="s">
        <v>782</v>
      </c>
      <c r="C268">
        <v>549</v>
      </c>
    </row>
    <row r="269" spans="1:3" ht="12.75">
      <c r="A269" s="3" t="s">
        <v>280</v>
      </c>
      <c r="B269" t="s">
        <v>783</v>
      </c>
      <c r="C269">
        <v>124.04</v>
      </c>
    </row>
    <row r="270" spans="1:3" ht="12.75">
      <c r="A270" s="3" t="s">
        <v>281</v>
      </c>
      <c r="B270" t="s">
        <v>784</v>
      </c>
      <c r="C270">
        <v>17.75</v>
      </c>
    </row>
    <row r="271" spans="1:3" ht="12.75">
      <c r="A271" s="3" t="s">
        <v>282</v>
      </c>
      <c r="B271" t="s">
        <v>785</v>
      </c>
      <c r="C271">
        <v>67.39</v>
      </c>
    </row>
    <row r="272" spans="1:3" ht="12.75">
      <c r="A272" s="3" t="s">
        <v>283</v>
      </c>
      <c r="B272" t="s">
        <v>786</v>
      </c>
      <c r="C272">
        <v>58.64</v>
      </c>
    </row>
    <row r="273" spans="1:3" ht="12.75">
      <c r="A273" s="3" t="s">
        <v>284</v>
      </c>
      <c r="B273" t="s">
        <v>787</v>
      </c>
      <c r="C273">
        <v>44.6</v>
      </c>
    </row>
    <row r="274" spans="1:3" ht="12.75">
      <c r="A274" s="3" t="s">
        <v>285</v>
      </c>
      <c r="B274" t="s">
        <v>788</v>
      </c>
      <c r="C274">
        <v>20.69</v>
      </c>
    </row>
    <row r="275" spans="1:3" ht="12.75">
      <c r="A275" s="3" t="s">
        <v>286</v>
      </c>
      <c r="B275" t="s">
        <v>789</v>
      </c>
      <c r="C275">
        <v>70.010000000000005</v>
      </c>
    </row>
    <row r="276" spans="1:3" ht="12.75">
      <c r="A276" s="3" t="s">
        <v>287</v>
      </c>
      <c r="B276" t="s">
        <v>790</v>
      </c>
      <c r="C276">
        <v>108.94</v>
      </c>
    </row>
    <row r="277" spans="1:3" ht="12.75">
      <c r="A277" s="3" t="s">
        <v>288</v>
      </c>
      <c r="B277" t="s">
        <v>791</v>
      </c>
      <c r="C277">
        <v>131.58000000000001</v>
      </c>
    </row>
    <row r="278" spans="1:3" ht="12.75">
      <c r="A278" s="3" t="s">
        <v>289</v>
      </c>
      <c r="B278" t="s">
        <v>792</v>
      </c>
      <c r="C278">
        <v>218.97</v>
      </c>
    </row>
    <row r="279" spans="1:3" ht="12.75">
      <c r="A279" s="3" t="s">
        <v>290</v>
      </c>
      <c r="B279" t="s">
        <v>793</v>
      </c>
      <c r="C279">
        <v>194.69</v>
      </c>
    </row>
    <row r="280" spans="1:3" ht="12.75">
      <c r="A280" s="3" t="s">
        <v>291</v>
      </c>
      <c r="B280" t="s">
        <v>794</v>
      </c>
      <c r="C280">
        <v>411.7</v>
      </c>
    </row>
    <row r="281" spans="1:3" ht="12.75">
      <c r="A281" s="3" t="s">
        <v>292</v>
      </c>
      <c r="B281" t="s">
        <v>795</v>
      </c>
      <c r="C281">
        <v>45.49</v>
      </c>
    </row>
    <row r="282" spans="1:3" ht="12.75">
      <c r="A282" s="3" t="s">
        <v>293</v>
      </c>
      <c r="B282" t="s">
        <v>796</v>
      </c>
      <c r="C282">
        <v>584.04</v>
      </c>
    </row>
    <row r="283" spans="1:3" ht="12.75">
      <c r="A283" s="3" t="s">
        <v>294</v>
      </c>
      <c r="B283" t="s">
        <v>797</v>
      </c>
      <c r="C283">
        <v>449.41</v>
      </c>
    </row>
    <row r="284" spans="1:3" ht="12.75">
      <c r="A284" s="3" t="s">
        <v>295</v>
      </c>
      <c r="B284" t="s">
        <v>798</v>
      </c>
      <c r="C284">
        <v>51.49</v>
      </c>
    </row>
    <row r="285" spans="1:3" ht="12.75">
      <c r="A285" s="3" t="s">
        <v>296</v>
      </c>
      <c r="B285" t="s">
        <v>799</v>
      </c>
      <c r="C285">
        <v>203.92</v>
      </c>
    </row>
    <row r="286" spans="1:3" ht="12.75">
      <c r="A286" s="3" t="s">
        <v>297</v>
      </c>
      <c r="B286" t="s">
        <v>800</v>
      </c>
      <c r="C286">
        <v>722.08</v>
      </c>
    </row>
    <row r="287" spans="1:3" ht="12.75">
      <c r="A287" s="3" t="s">
        <v>298</v>
      </c>
      <c r="B287" t="s">
        <v>801</v>
      </c>
      <c r="C287">
        <v>466.61</v>
      </c>
    </row>
    <row r="288" spans="1:3" ht="12.75">
      <c r="A288" s="3" t="s">
        <v>299</v>
      </c>
      <c r="B288" t="s">
        <v>802</v>
      </c>
      <c r="C288">
        <v>26.69</v>
      </c>
    </row>
    <row r="289" spans="1:3" ht="12.75">
      <c r="A289" s="3" t="s">
        <v>300</v>
      </c>
      <c r="B289" t="s">
        <v>803</v>
      </c>
      <c r="C289">
        <v>46.8</v>
      </c>
    </row>
    <row r="290" spans="1:3" ht="12.75">
      <c r="A290" s="3" t="s">
        <v>301</v>
      </c>
      <c r="B290" t="s">
        <v>804</v>
      </c>
      <c r="C290">
        <v>100.92</v>
      </c>
    </row>
    <row r="291" spans="1:3" ht="12.75">
      <c r="A291" s="3" t="s">
        <v>302</v>
      </c>
      <c r="B291" t="s">
        <v>805</v>
      </c>
      <c r="C291">
        <v>95.5</v>
      </c>
    </row>
    <row r="292" spans="1:3" ht="12.75">
      <c r="A292" s="3" t="s">
        <v>303</v>
      </c>
      <c r="B292" t="s">
        <v>806</v>
      </c>
      <c r="C292">
        <v>84.25</v>
      </c>
    </row>
    <row r="293" spans="1:3" ht="12.75">
      <c r="A293" s="3" t="s">
        <v>304</v>
      </c>
      <c r="B293" t="s">
        <v>807</v>
      </c>
      <c r="C293">
        <v>414.36</v>
      </c>
    </row>
    <row r="294" spans="1:3" ht="12.75">
      <c r="A294" s="3" t="s">
        <v>305</v>
      </c>
      <c r="B294" t="s">
        <v>808</v>
      </c>
      <c r="C294">
        <v>126.79</v>
      </c>
    </row>
    <row r="295" spans="1:3" ht="12.75">
      <c r="A295" s="3" t="s">
        <v>306</v>
      </c>
      <c r="B295" t="s">
        <v>809</v>
      </c>
      <c r="C295">
        <v>209.28</v>
      </c>
    </row>
    <row r="296" spans="1:3" ht="12.75">
      <c r="A296" s="3" t="s">
        <v>307</v>
      </c>
      <c r="B296" t="s">
        <v>810</v>
      </c>
      <c r="C296">
        <v>62.16</v>
      </c>
    </row>
    <row r="297" spans="1:3" ht="12.75">
      <c r="A297" s="3" t="s">
        <v>308</v>
      </c>
      <c r="B297" t="s">
        <v>811</v>
      </c>
      <c r="C297">
        <v>285.95999999999998</v>
      </c>
    </row>
    <row r="298" spans="1:3" ht="12.75">
      <c r="A298" s="3" t="s">
        <v>309</v>
      </c>
      <c r="B298" t="s">
        <v>812</v>
      </c>
      <c r="C298">
        <v>84.66</v>
      </c>
    </row>
    <row r="299" spans="1:3" ht="12.75">
      <c r="A299" s="3" t="s">
        <v>310</v>
      </c>
      <c r="B299" t="s">
        <v>813</v>
      </c>
      <c r="C299">
        <v>464.65</v>
      </c>
    </row>
    <row r="300" spans="1:3" ht="12.75">
      <c r="A300" s="3" t="s">
        <v>311</v>
      </c>
      <c r="B300" t="s">
        <v>814</v>
      </c>
      <c r="C300">
        <v>371.05</v>
      </c>
    </row>
    <row r="301" spans="1:3" ht="12.75">
      <c r="A301" s="3" t="s">
        <v>312</v>
      </c>
      <c r="B301" t="s">
        <v>815</v>
      </c>
      <c r="C301">
        <v>70.819999999999993</v>
      </c>
    </row>
    <row r="302" spans="1:3" ht="12.75">
      <c r="A302" s="3" t="s">
        <v>313</v>
      </c>
      <c r="B302" t="s">
        <v>816</v>
      </c>
      <c r="C302">
        <v>79.989999999999995</v>
      </c>
    </row>
    <row r="303" spans="1:3" ht="12.75">
      <c r="A303" s="3" t="s">
        <v>314</v>
      </c>
      <c r="B303" t="s">
        <v>817</v>
      </c>
      <c r="C303">
        <v>63.76</v>
      </c>
    </row>
    <row r="304" spans="1:3" ht="12.75">
      <c r="A304" s="3" t="s">
        <v>315</v>
      </c>
      <c r="B304" t="s">
        <v>818</v>
      </c>
      <c r="C304">
        <v>324.82</v>
      </c>
    </row>
    <row r="305" spans="1:3" ht="12.75">
      <c r="A305" s="3" t="s">
        <v>316</v>
      </c>
      <c r="B305" t="s">
        <v>819</v>
      </c>
      <c r="C305">
        <v>40.840000000000003</v>
      </c>
    </row>
    <row r="306" spans="1:3" ht="12.75">
      <c r="A306" s="3" t="s">
        <v>317</v>
      </c>
      <c r="B306" t="s">
        <v>820</v>
      </c>
      <c r="C306">
        <v>91.93</v>
      </c>
    </row>
    <row r="307" spans="1:3" ht="12.75">
      <c r="A307" s="3" t="s">
        <v>318</v>
      </c>
      <c r="B307" t="s">
        <v>821</v>
      </c>
      <c r="C307">
        <v>65.989999999999995</v>
      </c>
    </row>
    <row r="308" spans="1:3" ht="12.75">
      <c r="A308" s="3" t="s">
        <v>319</v>
      </c>
      <c r="B308" t="s">
        <v>822</v>
      </c>
      <c r="C308">
        <v>240.17</v>
      </c>
    </row>
    <row r="309" spans="1:3" ht="12.75">
      <c r="A309" s="3" t="s">
        <v>320</v>
      </c>
      <c r="B309" t="s">
        <v>823</v>
      </c>
      <c r="C309">
        <v>467.35</v>
      </c>
    </row>
    <row r="310" spans="1:3" ht="12.75">
      <c r="A310" s="3" t="s">
        <v>321</v>
      </c>
      <c r="B310" t="s">
        <v>824</v>
      </c>
      <c r="C310">
        <v>197.4</v>
      </c>
    </row>
    <row r="311" spans="1:3" ht="12.75">
      <c r="A311" s="3" t="s">
        <v>322</v>
      </c>
      <c r="B311" t="s">
        <v>825</v>
      </c>
      <c r="C311">
        <v>99.85</v>
      </c>
    </row>
    <row r="312" spans="1:3" ht="12.75">
      <c r="A312" s="3" t="s">
        <v>323</v>
      </c>
      <c r="B312" t="s">
        <v>826</v>
      </c>
      <c r="C312">
        <v>55.22</v>
      </c>
    </row>
    <row r="313" spans="1:3" ht="12.75">
      <c r="A313" s="3" t="s">
        <v>324</v>
      </c>
      <c r="B313" t="s">
        <v>827</v>
      </c>
      <c r="C313">
        <v>42.6</v>
      </c>
    </row>
    <row r="314" spans="1:3" ht="12.75">
      <c r="A314" s="3" t="s">
        <v>325</v>
      </c>
      <c r="B314" t="s">
        <v>828</v>
      </c>
      <c r="C314">
        <v>362.76</v>
      </c>
    </row>
    <row r="315" spans="1:3" ht="12.75">
      <c r="A315" s="3" t="s">
        <v>326</v>
      </c>
      <c r="B315" t="s">
        <v>829</v>
      </c>
      <c r="C315">
        <v>36.9</v>
      </c>
    </row>
    <row r="316" spans="1:3" ht="12.75">
      <c r="A316" s="3" t="s">
        <v>327</v>
      </c>
      <c r="B316" t="s">
        <v>830</v>
      </c>
      <c r="C316">
        <v>151.41999999999999</v>
      </c>
    </row>
    <row r="317" spans="1:3" ht="12.75">
      <c r="A317" s="3" t="s">
        <v>328</v>
      </c>
      <c r="B317" t="s">
        <v>831</v>
      </c>
      <c r="C317">
        <v>559.61</v>
      </c>
    </row>
    <row r="318" spans="1:3" ht="12.75">
      <c r="A318" s="3" t="s">
        <v>329</v>
      </c>
      <c r="B318" t="s">
        <v>832</v>
      </c>
      <c r="C318">
        <v>103.46</v>
      </c>
    </row>
    <row r="319" spans="1:3" ht="12.75">
      <c r="A319" s="3" t="s">
        <v>330</v>
      </c>
      <c r="B319" t="s">
        <v>833</v>
      </c>
      <c r="C319">
        <v>79.83</v>
      </c>
    </row>
    <row r="320" spans="1:3" ht="12.75">
      <c r="A320" s="3" t="s">
        <v>331</v>
      </c>
      <c r="B320" t="s">
        <v>834</v>
      </c>
      <c r="C320">
        <v>25.44</v>
      </c>
    </row>
    <row r="321" spans="1:3" ht="12.75">
      <c r="A321" s="3" t="s">
        <v>332</v>
      </c>
      <c r="B321" t="s">
        <v>835</v>
      </c>
      <c r="C321">
        <v>80.89</v>
      </c>
    </row>
    <row r="322" spans="1:3" ht="12.75">
      <c r="A322" s="3" t="s">
        <v>333</v>
      </c>
      <c r="B322" t="s">
        <v>836</v>
      </c>
      <c r="C322">
        <v>527.70000000000005</v>
      </c>
    </row>
    <row r="323" spans="1:3" ht="12.75">
      <c r="A323" s="3" t="s">
        <v>334</v>
      </c>
      <c r="B323" t="s">
        <v>837</v>
      </c>
      <c r="C323">
        <v>374.51</v>
      </c>
    </row>
    <row r="324" spans="1:3" ht="12.75">
      <c r="A324" s="3" t="s">
        <v>335</v>
      </c>
      <c r="B324" t="s">
        <v>838</v>
      </c>
      <c r="C324">
        <v>325.32</v>
      </c>
    </row>
    <row r="325" spans="1:3" ht="12.75">
      <c r="A325" s="3" t="s">
        <v>336</v>
      </c>
      <c r="B325" t="s">
        <v>839</v>
      </c>
      <c r="C325">
        <v>132.71</v>
      </c>
    </row>
    <row r="326" spans="1:3" ht="12.75">
      <c r="A326" s="3" t="s">
        <v>337</v>
      </c>
      <c r="B326" t="s">
        <v>840</v>
      </c>
      <c r="C326">
        <v>33.4</v>
      </c>
    </row>
    <row r="327" spans="1:3" ht="12.75">
      <c r="A327" s="3" t="s">
        <v>338</v>
      </c>
      <c r="B327" t="s">
        <v>841</v>
      </c>
      <c r="C327">
        <v>1104.47</v>
      </c>
    </row>
    <row r="328" spans="1:3" ht="12.75">
      <c r="A328" s="3" t="s">
        <v>339</v>
      </c>
      <c r="B328" t="s">
        <v>842</v>
      </c>
      <c r="C328">
        <v>75.930000000000007</v>
      </c>
    </row>
    <row r="329" spans="1:3" ht="12.75">
      <c r="A329" s="3" t="s">
        <v>340</v>
      </c>
      <c r="B329" t="s">
        <v>843</v>
      </c>
      <c r="C329">
        <v>16.420000000000002</v>
      </c>
    </row>
    <row r="330" spans="1:3" ht="12.75">
      <c r="A330" s="3" t="s">
        <v>341</v>
      </c>
      <c r="B330" t="s">
        <v>844</v>
      </c>
      <c r="C330">
        <v>55.9</v>
      </c>
    </row>
    <row r="331" spans="1:3" ht="12.75">
      <c r="A331" s="3" t="s">
        <v>342</v>
      </c>
      <c r="B331" t="s">
        <v>845</v>
      </c>
      <c r="C331">
        <v>238.8</v>
      </c>
    </row>
    <row r="332" spans="1:3" ht="12.75">
      <c r="A332" s="3" t="s">
        <v>343</v>
      </c>
      <c r="B332" t="s">
        <v>846</v>
      </c>
      <c r="C332">
        <v>59.17</v>
      </c>
    </row>
    <row r="333" spans="1:3" ht="12.75">
      <c r="A333" s="3" t="s">
        <v>344</v>
      </c>
      <c r="B333" t="s">
        <v>847</v>
      </c>
      <c r="C333">
        <v>41.2</v>
      </c>
    </row>
    <row r="334" spans="1:3" ht="12.75">
      <c r="A334" s="3" t="s">
        <v>345</v>
      </c>
      <c r="B334" t="s">
        <v>848</v>
      </c>
      <c r="C334">
        <v>465.74</v>
      </c>
    </row>
    <row r="335" spans="1:3" ht="12.75">
      <c r="A335" s="3" t="s">
        <v>346</v>
      </c>
      <c r="B335" t="s">
        <v>849</v>
      </c>
      <c r="C335">
        <v>26.2</v>
      </c>
    </row>
    <row r="336" spans="1:3" ht="12.75">
      <c r="A336" s="3" t="s">
        <v>347</v>
      </c>
      <c r="B336" t="s">
        <v>850</v>
      </c>
      <c r="C336">
        <v>113.48</v>
      </c>
    </row>
    <row r="337" spans="1:3" ht="12.75">
      <c r="A337" s="3" t="s">
        <v>348</v>
      </c>
      <c r="B337" t="s">
        <v>851</v>
      </c>
      <c r="C337">
        <v>479.84</v>
      </c>
    </row>
    <row r="338" spans="1:3" ht="12.75">
      <c r="A338" s="3" t="s">
        <v>349</v>
      </c>
      <c r="B338" t="s">
        <v>852</v>
      </c>
      <c r="C338">
        <v>690.79</v>
      </c>
    </row>
    <row r="339" spans="1:3" ht="12.75">
      <c r="A339" s="3" t="s">
        <v>350</v>
      </c>
      <c r="B339" t="s">
        <v>853</v>
      </c>
      <c r="C339">
        <v>48.37</v>
      </c>
    </row>
    <row r="340" spans="1:3" ht="12.75">
      <c r="A340" s="3" t="s">
        <v>351</v>
      </c>
      <c r="B340" t="s">
        <v>854</v>
      </c>
      <c r="C340">
        <v>226.47</v>
      </c>
    </row>
    <row r="341" spans="1:3" ht="12.75">
      <c r="A341" s="3" t="s">
        <v>352</v>
      </c>
      <c r="B341" t="s">
        <v>855</v>
      </c>
      <c r="C341">
        <v>91.28</v>
      </c>
    </row>
    <row r="342" spans="1:3" ht="12.75">
      <c r="A342" s="3" t="s">
        <v>353</v>
      </c>
      <c r="B342" t="s">
        <v>856</v>
      </c>
      <c r="C342">
        <v>80.28</v>
      </c>
    </row>
    <row r="343" spans="1:3" ht="12.75">
      <c r="A343" s="3" t="s">
        <v>354</v>
      </c>
      <c r="B343" t="s">
        <v>857</v>
      </c>
      <c r="C343">
        <v>170.41</v>
      </c>
    </row>
    <row r="344" spans="1:3" ht="12.75">
      <c r="A344" s="3" t="s">
        <v>355</v>
      </c>
      <c r="B344" t="s">
        <v>858</v>
      </c>
      <c r="C344">
        <v>467.65</v>
      </c>
    </row>
    <row r="345" spans="1:3" ht="12.75">
      <c r="A345" s="3" t="s">
        <v>356</v>
      </c>
      <c r="B345" t="s">
        <v>859</v>
      </c>
      <c r="C345">
        <v>6320.35</v>
      </c>
    </row>
    <row r="346" spans="1:3" ht="12.75">
      <c r="A346" s="3" t="s">
        <v>357</v>
      </c>
      <c r="B346" t="s">
        <v>860</v>
      </c>
      <c r="C346">
        <v>23.15</v>
      </c>
    </row>
    <row r="347" spans="1:3" ht="12.75">
      <c r="A347" s="3" t="s">
        <v>358</v>
      </c>
      <c r="B347" t="s">
        <v>861</v>
      </c>
      <c r="C347">
        <v>22.15</v>
      </c>
    </row>
    <row r="348" spans="1:3" ht="12.75">
      <c r="A348" s="3" t="s">
        <v>359</v>
      </c>
      <c r="B348" t="s">
        <v>862</v>
      </c>
      <c r="C348">
        <v>205.68</v>
      </c>
    </row>
    <row r="349" spans="1:3" ht="12.75">
      <c r="A349" s="3" t="s">
        <v>360</v>
      </c>
      <c r="B349" t="s">
        <v>863</v>
      </c>
      <c r="C349">
        <v>54.6</v>
      </c>
    </row>
    <row r="350" spans="1:3" ht="12.75">
      <c r="A350" s="3" t="s">
        <v>361</v>
      </c>
      <c r="B350" t="s">
        <v>864</v>
      </c>
      <c r="C350">
        <v>405.74</v>
      </c>
    </row>
    <row r="351" spans="1:3" ht="12.75">
      <c r="A351" s="3" t="s">
        <v>362</v>
      </c>
      <c r="B351" t="s">
        <v>865</v>
      </c>
      <c r="C351">
        <v>69.87</v>
      </c>
    </row>
    <row r="352" spans="1:3" ht="12.75">
      <c r="A352" s="3" t="s">
        <v>363</v>
      </c>
      <c r="B352" t="s">
        <v>866</v>
      </c>
      <c r="C352">
        <v>81.81</v>
      </c>
    </row>
    <row r="353" spans="1:3" ht="12.75">
      <c r="A353" s="3" t="s">
        <v>364</v>
      </c>
      <c r="B353" t="s">
        <v>867</v>
      </c>
      <c r="C353">
        <v>74.180000000000007</v>
      </c>
    </row>
    <row r="354" spans="1:3" ht="12.75">
      <c r="A354" s="3" t="s">
        <v>365</v>
      </c>
      <c r="B354" t="s">
        <v>868</v>
      </c>
      <c r="C354">
        <v>117.16</v>
      </c>
    </row>
    <row r="355" spans="1:3" ht="12.75">
      <c r="A355" s="3" t="s">
        <v>366</v>
      </c>
      <c r="B355" t="s">
        <v>869</v>
      </c>
      <c r="C355">
        <v>980.52</v>
      </c>
    </row>
    <row r="356" spans="1:3" ht="12.75">
      <c r="A356" s="3" t="s">
        <v>367</v>
      </c>
      <c r="B356" t="s">
        <v>870</v>
      </c>
      <c r="C356">
        <v>86.75</v>
      </c>
    </row>
    <row r="357" spans="1:3" ht="12.75">
      <c r="A357" s="3" t="s">
        <v>368</v>
      </c>
      <c r="B357" t="s">
        <v>871</v>
      </c>
      <c r="C357">
        <v>58.83</v>
      </c>
    </row>
    <row r="358" spans="1:3" ht="12.75">
      <c r="A358" s="3" t="s">
        <v>369</v>
      </c>
      <c r="B358" t="s">
        <v>872</v>
      </c>
      <c r="C358">
        <v>296.16000000000003</v>
      </c>
    </row>
    <row r="359" spans="1:3" ht="12.75">
      <c r="A359" s="3" t="s">
        <v>370</v>
      </c>
      <c r="B359" t="s">
        <v>873</v>
      </c>
      <c r="C359">
        <v>15.78</v>
      </c>
    </row>
    <row r="360" spans="1:3" ht="12.75">
      <c r="A360" s="3" t="s">
        <v>371</v>
      </c>
      <c r="B360" t="s">
        <v>874</v>
      </c>
      <c r="C360">
        <v>185.75</v>
      </c>
    </row>
    <row r="361" spans="1:3" ht="12.75">
      <c r="A361" s="3" t="s">
        <v>372</v>
      </c>
      <c r="B361" t="s">
        <v>875</v>
      </c>
      <c r="C361">
        <v>123.92</v>
      </c>
    </row>
    <row r="362" spans="1:3" ht="12.75">
      <c r="A362" s="3" t="s">
        <v>373</v>
      </c>
      <c r="B362" t="s">
        <v>876</v>
      </c>
      <c r="C362">
        <v>93.18</v>
      </c>
    </row>
    <row r="363" spans="1:3" ht="12.75">
      <c r="A363" s="3" t="s">
        <v>374</v>
      </c>
      <c r="B363" t="s">
        <v>877</v>
      </c>
      <c r="C363">
        <v>17.45</v>
      </c>
    </row>
    <row r="364" spans="1:3" ht="12.75">
      <c r="A364" s="3" t="s">
        <v>375</v>
      </c>
      <c r="B364" t="s">
        <v>878</v>
      </c>
      <c r="C364">
        <v>18.2</v>
      </c>
    </row>
    <row r="365" spans="1:3" ht="12.75">
      <c r="A365" s="3" t="s">
        <v>376</v>
      </c>
      <c r="B365" t="s">
        <v>879</v>
      </c>
      <c r="C365">
        <v>63.42</v>
      </c>
    </row>
    <row r="366" spans="1:3" ht="12.75">
      <c r="A366" s="3" t="s">
        <v>377</v>
      </c>
      <c r="B366" t="s">
        <v>880</v>
      </c>
      <c r="C366">
        <v>168.69</v>
      </c>
    </row>
    <row r="367" spans="1:3" ht="12.75">
      <c r="A367" s="3" t="s">
        <v>378</v>
      </c>
      <c r="B367" t="s">
        <v>881</v>
      </c>
      <c r="C367">
        <v>28.91</v>
      </c>
    </row>
    <row r="368" spans="1:3" ht="12.75">
      <c r="A368" s="3" t="s">
        <v>379</v>
      </c>
      <c r="B368" t="s">
        <v>882</v>
      </c>
      <c r="C368">
        <v>74.53</v>
      </c>
    </row>
    <row r="369" spans="1:3" ht="12.75">
      <c r="A369" s="3" t="s">
        <v>380</v>
      </c>
      <c r="B369" t="s">
        <v>883</v>
      </c>
      <c r="C369">
        <v>152.66</v>
      </c>
    </row>
    <row r="370" spans="1:3" ht="12.75">
      <c r="A370" s="3" t="s">
        <v>381</v>
      </c>
      <c r="B370" t="s">
        <v>884</v>
      </c>
      <c r="C370">
        <v>162.46</v>
      </c>
    </row>
    <row r="371" spans="1:3" ht="12.75">
      <c r="A371" s="3" t="s">
        <v>382</v>
      </c>
      <c r="B371" t="s">
        <v>885</v>
      </c>
      <c r="C371">
        <v>440.16</v>
      </c>
    </row>
    <row r="372" spans="1:3" ht="12.75">
      <c r="A372" s="3" t="s">
        <v>383</v>
      </c>
      <c r="B372" t="s">
        <v>886</v>
      </c>
      <c r="C372">
        <v>91.02</v>
      </c>
    </row>
    <row r="373" spans="1:3" ht="12.75">
      <c r="A373" s="3" t="s">
        <v>384</v>
      </c>
      <c r="B373" t="s">
        <v>887</v>
      </c>
      <c r="C373">
        <v>169.71</v>
      </c>
    </row>
    <row r="374" spans="1:3" ht="12.75">
      <c r="A374" s="3" t="s">
        <v>385</v>
      </c>
      <c r="B374" t="s">
        <v>888</v>
      </c>
      <c r="C374">
        <v>118.26</v>
      </c>
    </row>
    <row r="375" spans="1:3" ht="12.75">
      <c r="A375" s="3" t="s">
        <v>386</v>
      </c>
      <c r="B375" t="s">
        <v>889</v>
      </c>
      <c r="C375">
        <v>94.05</v>
      </c>
    </row>
    <row r="376" spans="1:3" ht="12.75">
      <c r="A376" s="3" t="s">
        <v>387</v>
      </c>
      <c r="B376" t="s">
        <v>890</v>
      </c>
      <c r="C376">
        <v>139</v>
      </c>
    </row>
    <row r="377" spans="1:3" ht="12.75">
      <c r="A377" s="3" t="s">
        <v>388</v>
      </c>
      <c r="B377" t="s">
        <v>891</v>
      </c>
      <c r="C377">
        <v>66.28</v>
      </c>
    </row>
    <row r="378" spans="1:3" ht="12.75">
      <c r="A378" s="3" t="s">
        <v>389</v>
      </c>
      <c r="B378" t="s">
        <v>892</v>
      </c>
      <c r="C378">
        <v>75.08</v>
      </c>
    </row>
    <row r="379" spans="1:3" ht="12.75">
      <c r="A379" s="3" t="s">
        <v>390</v>
      </c>
      <c r="B379" t="s">
        <v>893</v>
      </c>
      <c r="C379">
        <v>192.19</v>
      </c>
    </row>
    <row r="380" spans="1:3" ht="12.75">
      <c r="A380" s="3" t="s">
        <v>391</v>
      </c>
      <c r="B380" t="s">
        <v>894</v>
      </c>
      <c r="C380">
        <v>357.64</v>
      </c>
    </row>
    <row r="381" spans="1:3" ht="12.75">
      <c r="A381" s="3" t="s">
        <v>392</v>
      </c>
      <c r="B381" t="s">
        <v>895</v>
      </c>
      <c r="C381">
        <v>143.63</v>
      </c>
    </row>
    <row r="382" spans="1:3" ht="12.75">
      <c r="A382" s="3" t="s">
        <v>393</v>
      </c>
      <c r="B382" t="s">
        <v>896</v>
      </c>
      <c r="C382">
        <v>26.48</v>
      </c>
    </row>
    <row r="383" spans="1:3" ht="12.75">
      <c r="A383" s="3" t="s">
        <v>394</v>
      </c>
      <c r="B383" t="s">
        <v>897</v>
      </c>
      <c r="C383">
        <v>97.74</v>
      </c>
    </row>
    <row r="384" spans="1:3" ht="12.75">
      <c r="A384" s="3" t="s">
        <v>395</v>
      </c>
      <c r="B384" t="s">
        <v>898</v>
      </c>
      <c r="C384">
        <v>266</v>
      </c>
    </row>
    <row r="385" spans="1:3" ht="12.75">
      <c r="A385" s="3" t="s">
        <v>396</v>
      </c>
      <c r="B385" t="s">
        <v>899</v>
      </c>
      <c r="C385">
        <v>129.69999999999999</v>
      </c>
    </row>
    <row r="386" spans="1:3" ht="12.75">
      <c r="A386" s="3" t="s">
        <v>397</v>
      </c>
      <c r="B386" t="s">
        <v>900</v>
      </c>
      <c r="C386">
        <v>159.41</v>
      </c>
    </row>
    <row r="387" spans="1:3" ht="12.75">
      <c r="A387" s="3" t="s">
        <v>398</v>
      </c>
      <c r="B387" t="s">
        <v>901</v>
      </c>
      <c r="C387">
        <v>190.55</v>
      </c>
    </row>
    <row r="388" spans="1:3" ht="12.75">
      <c r="A388" s="3" t="s">
        <v>399</v>
      </c>
      <c r="B388" t="s">
        <v>902</v>
      </c>
      <c r="C388">
        <v>232.15</v>
      </c>
    </row>
    <row r="389" spans="1:3" ht="12.75">
      <c r="A389" s="3" t="s">
        <v>400</v>
      </c>
      <c r="B389" t="s">
        <v>903</v>
      </c>
      <c r="C389">
        <v>59.65</v>
      </c>
    </row>
    <row r="390" spans="1:3" ht="12.75">
      <c r="A390" s="3" t="s">
        <v>401</v>
      </c>
      <c r="B390" t="s">
        <v>904</v>
      </c>
      <c r="C390">
        <v>129.66999999999999</v>
      </c>
    </row>
    <row r="391" spans="1:3" ht="12.75">
      <c r="A391" s="3" t="s">
        <v>402</v>
      </c>
      <c r="B391" t="s">
        <v>905</v>
      </c>
      <c r="C391">
        <v>97.42</v>
      </c>
    </row>
    <row r="392" spans="1:3" ht="12.75">
      <c r="A392" s="3" t="s">
        <v>403</v>
      </c>
      <c r="B392" t="s">
        <v>906</v>
      </c>
      <c r="C392">
        <v>110.73</v>
      </c>
    </row>
    <row r="393" spans="1:3" ht="12.75">
      <c r="A393" s="3" t="s">
        <v>404</v>
      </c>
      <c r="B393" t="s">
        <v>907</v>
      </c>
      <c r="C393">
        <v>63.96</v>
      </c>
    </row>
    <row r="394" spans="1:3" ht="12.75">
      <c r="A394" s="3" t="s">
        <v>405</v>
      </c>
      <c r="B394" t="s">
        <v>908</v>
      </c>
      <c r="C394">
        <v>814.86</v>
      </c>
    </row>
    <row r="395" spans="1:3" ht="12.75">
      <c r="A395" s="3" t="s">
        <v>406</v>
      </c>
      <c r="B395" t="s">
        <v>909</v>
      </c>
      <c r="C395">
        <v>17.57</v>
      </c>
    </row>
    <row r="396" spans="1:3" ht="12.75">
      <c r="A396" s="3" t="s">
        <v>407</v>
      </c>
      <c r="B396" t="s">
        <v>910</v>
      </c>
      <c r="C396">
        <v>83.37</v>
      </c>
    </row>
    <row r="397" spans="1:3" ht="12.75">
      <c r="A397" s="3" t="s">
        <v>408</v>
      </c>
      <c r="B397" t="s">
        <v>911</v>
      </c>
      <c r="C397">
        <v>107.92</v>
      </c>
    </row>
    <row r="398" spans="1:3" ht="12.75">
      <c r="A398" s="3" t="s">
        <v>409</v>
      </c>
      <c r="B398" t="s">
        <v>912</v>
      </c>
      <c r="C398">
        <v>133.63</v>
      </c>
    </row>
    <row r="399" spans="1:3" ht="12.75">
      <c r="A399" s="3" t="s">
        <v>410</v>
      </c>
      <c r="B399" t="s">
        <v>913</v>
      </c>
      <c r="C399">
        <v>159.63999999999999</v>
      </c>
    </row>
    <row r="400" spans="1:3" ht="12.75">
      <c r="A400" s="3" t="s">
        <v>411</v>
      </c>
      <c r="B400" t="s">
        <v>914</v>
      </c>
      <c r="C400">
        <v>281.47000000000003</v>
      </c>
    </row>
    <row r="401" spans="1:3" ht="12.75">
      <c r="A401" s="3" t="s">
        <v>412</v>
      </c>
      <c r="B401" t="s">
        <v>915</v>
      </c>
      <c r="C401">
        <v>40.909999999999997</v>
      </c>
    </row>
    <row r="402" spans="1:3" ht="12.75">
      <c r="A402" s="3" t="s">
        <v>413</v>
      </c>
      <c r="B402" t="s">
        <v>916</v>
      </c>
      <c r="C402">
        <v>540.58000000000004</v>
      </c>
    </row>
    <row r="403" spans="1:3" ht="12.75">
      <c r="A403" s="3" t="s">
        <v>414</v>
      </c>
      <c r="B403" t="s">
        <v>917</v>
      </c>
      <c r="C403">
        <v>132.13999999999999</v>
      </c>
    </row>
    <row r="404" spans="1:3" ht="12.75">
      <c r="A404" s="3" t="s">
        <v>415</v>
      </c>
      <c r="B404" t="s">
        <v>918</v>
      </c>
      <c r="C404">
        <v>163.92</v>
      </c>
    </row>
    <row r="405" spans="1:3" ht="12.75">
      <c r="A405" s="3" t="s">
        <v>416</v>
      </c>
      <c r="B405" t="s">
        <v>919</v>
      </c>
      <c r="C405">
        <v>82.32</v>
      </c>
    </row>
    <row r="406" spans="1:3" ht="12.75">
      <c r="A406" s="3" t="s">
        <v>417</v>
      </c>
      <c r="B406" t="s">
        <v>920</v>
      </c>
      <c r="C406">
        <v>91.28</v>
      </c>
    </row>
    <row r="407" spans="1:3" ht="12.75">
      <c r="A407" s="3" t="s">
        <v>418</v>
      </c>
      <c r="B407" t="s">
        <v>921</v>
      </c>
      <c r="C407">
        <v>250.57</v>
      </c>
    </row>
    <row r="408" spans="1:3" ht="12.75">
      <c r="A408" s="3" t="s">
        <v>419</v>
      </c>
      <c r="B408" t="s">
        <v>922</v>
      </c>
      <c r="C408">
        <v>99.2</v>
      </c>
    </row>
    <row r="409" spans="1:3" ht="12.75">
      <c r="A409" s="3" t="s">
        <v>420</v>
      </c>
      <c r="B409" t="s">
        <v>923</v>
      </c>
      <c r="C409">
        <v>63.16</v>
      </c>
    </row>
    <row r="410" spans="1:3" ht="12.75">
      <c r="A410" s="3" t="s">
        <v>421</v>
      </c>
      <c r="B410" t="s">
        <v>924</v>
      </c>
      <c r="C410">
        <v>82.48</v>
      </c>
    </row>
    <row r="411" spans="1:3" ht="12.75">
      <c r="A411" s="3" t="s">
        <v>422</v>
      </c>
      <c r="B411" t="s">
        <v>925</v>
      </c>
      <c r="C411">
        <v>34.06</v>
      </c>
    </row>
    <row r="412" spans="1:3" ht="12.75">
      <c r="A412" s="3" t="s">
        <v>423</v>
      </c>
      <c r="B412" t="s">
        <v>926</v>
      </c>
      <c r="C412">
        <v>282.33</v>
      </c>
    </row>
    <row r="413" spans="1:3" ht="12.75">
      <c r="A413" s="3" t="s">
        <v>424</v>
      </c>
      <c r="B413" t="s">
        <v>927</v>
      </c>
      <c r="C413">
        <v>111.42</v>
      </c>
    </row>
    <row r="414" spans="1:3" ht="12.75">
      <c r="A414" s="3" t="s">
        <v>425</v>
      </c>
      <c r="B414" t="s">
        <v>928</v>
      </c>
      <c r="C414">
        <v>52.39</v>
      </c>
    </row>
    <row r="415" spans="1:3" ht="12.75">
      <c r="A415" s="3" t="s">
        <v>426</v>
      </c>
      <c r="B415" t="s">
        <v>929</v>
      </c>
      <c r="C415">
        <v>279.86</v>
      </c>
    </row>
    <row r="416" spans="1:3" ht="12.75">
      <c r="A416" s="3" t="s">
        <v>427</v>
      </c>
      <c r="B416" t="s">
        <v>930</v>
      </c>
      <c r="C416">
        <v>545.96</v>
      </c>
    </row>
    <row r="417" spans="1:3" ht="12.75">
      <c r="A417" s="3" t="s">
        <v>428</v>
      </c>
      <c r="B417" t="s">
        <v>931</v>
      </c>
      <c r="C417">
        <v>71.52</v>
      </c>
    </row>
    <row r="418" spans="1:3" ht="12.75">
      <c r="A418" s="3" t="s">
        <v>429</v>
      </c>
      <c r="B418" t="s">
        <v>932</v>
      </c>
      <c r="C418">
        <v>128.82</v>
      </c>
    </row>
    <row r="419" spans="1:3" ht="12.75">
      <c r="A419" s="3" t="s">
        <v>430</v>
      </c>
      <c r="B419" t="s">
        <v>933</v>
      </c>
      <c r="C419">
        <v>422</v>
      </c>
    </row>
    <row r="420" spans="1:3" ht="12.75">
      <c r="A420" s="3" t="s">
        <v>431</v>
      </c>
      <c r="B420" t="s">
        <v>934</v>
      </c>
      <c r="C420">
        <v>73.2</v>
      </c>
    </row>
    <row r="421" spans="1:3" ht="12.75">
      <c r="A421" s="3" t="s">
        <v>432</v>
      </c>
      <c r="B421" t="s">
        <v>935</v>
      </c>
      <c r="C421">
        <v>203.51</v>
      </c>
    </row>
    <row r="422" spans="1:3" ht="12.75">
      <c r="A422" s="3" t="s">
        <v>433</v>
      </c>
      <c r="B422" t="s">
        <v>936</v>
      </c>
      <c r="C422">
        <v>119.75</v>
      </c>
    </row>
    <row r="423" spans="1:3" ht="12.75">
      <c r="A423" s="3" t="s">
        <v>434</v>
      </c>
      <c r="B423" t="s">
        <v>937</v>
      </c>
      <c r="C423">
        <v>73.92</v>
      </c>
    </row>
    <row r="424" spans="1:3" ht="12.75">
      <c r="A424" s="3" t="s">
        <v>435</v>
      </c>
      <c r="B424" t="s">
        <v>938</v>
      </c>
      <c r="C424">
        <v>79.180000000000007</v>
      </c>
    </row>
    <row r="425" spans="1:3" ht="12.75">
      <c r="A425" s="3" t="s">
        <v>436</v>
      </c>
      <c r="B425" t="s">
        <v>939</v>
      </c>
      <c r="C425">
        <v>241.95</v>
      </c>
    </row>
    <row r="426" spans="1:3" ht="12.75">
      <c r="A426" s="3" t="s">
        <v>437</v>
      </c>
      <c r="B426" t="s">
        <v>940</v>
      </c>
      <c r="C426">
        <v>93.78</v>
      </c>
    </row>
    <row r="427" spans="1:3" ht="12.75">
      <c r="A427" s="3" t="s">
        <v>438</v>
      </c>
      <c r="B427" t="s">
        <v>941</v>
      </c>
      <c r="C427">
        <v>98.19</v>
      </c>
    </row>
    <row r="428" spans="1:3" ht="12.75">
      <c r="A428" s="3" t="s">
        <v>439</v>
      </c>
      <c r="B428" t="s">
        <v>942</v>
      </c>
      <c r="C428">
        <v>33.83</v>
      </c>
    </row>
    <row r="429" spans="1:3" ht="12.75">
      <c r="A429" s="3" t="s">
        <v>440</v>
      </c>
      <c r="B429" t="s">
        <v>943</v>
      </c>
      <c r="C429">
        <v>297.79000000000002</v>
      </c>
    </row>
    <row r="430" spans="1:3" ht="12.75">
      <c r="A430" s="3" t="s">
        <v>441</v>
      </c>
      <c r="B430" t="s">
        <v>944</v>
      </c>
      <c r="C430">
        <v>72.8</v>
      </c>
    </row>
    <row r="431" spans="1:3" ht="12.75">
      <c r="A431" s="3" t="s">
        <v>442</v>
      </c>
      <c r="B431" t="s">
        <v>945</v>
      </c>
      <c r="C431">
        <v>16.760000000000002</v>
      </c>
    </row>
    <row r="432" spans="1:3" ht="12.75">
      <c r="A432" s="3" t="s">
        <v>443</v>
      </c>
      <c r="B432" t="s">
        <v>946</v>
      </c>
      <c r="C432">
        <v>61.93</v>
      </c>
    </row>
    <row r="433" spans="1:3" ht="12.75">
      <c r="A433" s="3" t="s">
        <v>444</v>
      </c>
      <c r="B433" t="s">
        <v>947</v>
      </c>
      <c r="C433">
        <v>970.27</v>
      </c>
    </row>
    <row r="434" spans="1:3" ht="12.75">
      <c r="A434" s="3" t="s">
        <v>445</v>
      </c>
      <c r="B434" t="s">
        <v>948</v>
      </c>
      <c r="C434">
        <v>409.02</v>
      </c>
    </row>
    <row r="435" spans="1:3" ht="12.75">
      <c r="A435" s="3" t="s">
        <v>446</v>
      </c>
      <c r="B435" t="s">
        <v>949</v>
      </c>
      <c r="C435">
        <v>64.569999999999993</v>
      </c>
    </row>
    <row r="436" spans="1:3" ht="12.75">
      <c r="A436" s="3" t="s">
        <v>447</v>
      </c>
      <c r="B436" t="s">
        <v>950</v>
      </c>
      <c r="C436">
        <v>132</v>
      </c>
    </row>
    <row r="437" spans="1:3" ht="12.75">
      <c r="A437" s="3" t="s">
        <v>448</v>
      </c>
      <c r="B437" t="s">
        <v>951</v>
      </c>
      <c r="C437">
        <v>93.86</v>
      </c>
    </row>
    <row r="438" spans="1:3" ht="12.75">
      <c r="A438" s="3" t="s">
        <v>449</v>
      </c>
      <c r="B438" t="s">
        <v>952</v>
      </c>
      <c r="C438">
        <v>33.270000000000003</v>
      </c>
    </row>
    <row r="439" spans="1:3" ht="12.75">
      <c r="A439" s="3" t="s">
        <v>450</v>
      </c>
      <c r="B439" t="s">
        <v>953</v>
      </c>
      <c r="C439">
        <v>227.67</v>
      </c>
    </row>
    <row r="440" spans="1:3" ht="12.75">
      <c r="A440" s="3" t="s">
        <v>451</v>
      </c>
      <c r="B440" t="s">
        <v>954</v>
      </c>
      <c r="C440">
        <v>134.78</v>
      </c>
    </row>
    <row r="441" spans="1:3" ht="12.75">
      <c r="A441" s="3" t="s">
        <v>452</v>
      </c>
      <c r="B441" t="s">
        <v>955</v>
      </c>
      <c r="C441">
        <v>89.04</v>
      </c>
    </row>
    <row r="442" spans="1:3" ht="12.75">
      <c r="A442" s="3" t="s">
        <v>453</v>
      </c>
      <c r="B442" t="s">
        <v>956</v>
      </c>
      <c r="C442">
        <v>496.13</v>
      </c>
    </row>
    <row r="443" spans="1:3" ht="12.75">
      <c r="A443" s="3" t="s">
        <v>454</v>
      </c>
      <c r="B443" t="s">
        <v>957</v>
      </c>
      <c r="C443">
        <v>152.25</v>
      </c>
    </row>
    <row r="444" spans="1:3" ht="12.75">
      <c r="A444" s="3" t="s">
        <v>455</v>
      </c>
      <c r="B444" t="s">
        <v>958</v>
      </c>
      <c r="C444">
        <v>32.700000000000003</v>
      </c>
    </row>
    <row r="445" spans="1:3" ht="12.75">
      <c r="A445" s="3" t="s">
        <v>456</v>
      </c>
      <c r="B445" t="s">
        <v>959</v>
      </c>
      <c r="C445">
        <v>90.16</v>
      </c>
    </row>
    <row r="446" spans="1:3" ht="12.75">
      <c r="A446" s="3" t="s">
        <v>457</v>
      </c>
      <c r="B446" t="s">
        <v>960</v>
      </c>
      <c r="C446">
        <v>47.36</v>
      </c>
    </row>
    <row r="447" spans="1:3" ht="12.75">
      <c r="A447" s="3" t="s">
        <v>458</v>
      </c>
      <c r="B447" t="s">
        <v>961</v>
      </c>
      <c r="C447">
        <v>102.45</v>
      </c>
    </row>
    <row r="448" spans="1:3" ht="12.75">
      <c r="A448" s="3" t="s">
        <v>459</v>
      </c>
      <c r="B448" t="s">
        <v>962</v>
      </c>
      <c r="C448">
        <v>181.98</v>
      </c>
    </row>
    <row r="449" spans="1:3" ht="12.75">
      <c r="A449" s="3" t="s">
        <v>460</v>
      </c>
      <c r="B449" t="s">
        <v>963</v>
      </c>
      <c r="C449">
        <v>210.07</v>
      </c>
    </row>
    <row r="450" spans="1:3" ht="12.75">
      <c r="A450" s="3" t="s">
        <v>461</v>
      </c>
      <c r="B450" t="s">
        <v>964</v>
      </c>
      <c r="C450">
        <v>238.83</v>
      </c>
    </row>
    <row r="451" spans="1:3" ht="12.75">
      <c r="A451" s="3" t="s">
        <v>462</v>
      </c>
      <c r="B451" t="s">
        <v>965</v>
      </c>
      <c r="C451">
        <v>48.2</v>
      </c>
    </row>
    <row r="452" spans="1:3" ht="12.75">
      <c r="A452" s="3" t="s">
        <v>463</v>
      </c>
      <c r="B452" t="s">
        <v>966</v>
      </c>
      <c r="C452">
        <v>227.53</v>
      </c>
    </row>
    <row r="453" spans="1:3" ht="12.75">
      <c r="A453" s="3" t="s">
        <v>464</v>
      </c>
      <c r="B453" t="s">
        <v>967</v>
      </c>
      <c r="C453">
        <v>157.84</v>
      </c>
    </row>
    <row r="454" spans="1:3" ht="12.75">
      <c r="A454" s="3" t="s">
        <v>465</v>
      </c>
      <c r="B454" t="s">
        <v>968</v>
      </c>
      <c r="C454">
        <v>155.21</v>
      </c>
    </row>
    <row r="455" spans="1:3" ht="12.75">
      <c r="A455" s="3" t="s">
        <v>466</v>
      </c>
      <c r="B455" t="s">
        <v>969</v>
      </c>
      <c r="C455">
        <v>77.88</v>
      </c>
    </row>
    <row r="456" spans="1:3" ht="12.75">
      <c r="A456" s="3" t="s">
        <v>467</v>
      </c>
      <c r="B456" t="s">
        <v>970</v>
      </c>
      <c r="C456">
        <v>413.73</v>
      </c>
    </row>
    <row r="457" spans="1:3" ht="12.75">
      <c r="A457" s="3" t="s">
        <v>468</v>
      </c>
      <c r="B457" t="s">
        <v>971</v>
      </c>
      <c r="C457">
        <v>40.24</v>
      </c>
    </row>
    <row r="458" spans="1:3" ht="12.75">
      <c r="A458" s="3" t="s">
        <v>469</v>
      </c>
      <c r="B458" t="s">
        <v>972</v>
      </c>
      <c r="C458">
        <v>34.4</v>
      </c>
    </row>
    <row r="459" spans="1:3" ht="12.75">
      <c r="A459" s="3" t="s">
        <v>470</v>
      </c>
      <c r="B459" t="s">
        <v>973</v>
      </c>
      <c r="C459">
        <v>137.69999999999999</v>
      </c>
    </row>
    <row r="460" spans="1:3" ht="12.75">
      <c r="A460" s="3" t="s">
        <v>471</v>
      </c>
      <c r="B460" t="s">
        <v>974</v>
      </c>
      <c r="C460">
        <v>472.03</v>
      </c>
    </row>
    <row r="461" spans="1:3" ht="12.75">
      <c r="A461" s="3" t="s">
        <v>472</v>
      </c>
      <c r="B461" t="s">
        <v>975</v>
      </c>
      <c r="C461">
        <v>547.16</v>
      </c>
    </row>
    <row r="462" spans="1:3" ht="12.75">
      <c r="A462" s="3" t="s">
        <v>473</v>
      </c>
      <c r="B462" t="s">
        <v>976</v>
      </c>
      <c r="C462">
        <v>231.37</v>
      </c>
    </row>
    <row r="463" spans="1:3" ht="12.75">
      <c r="A463" s="3" t="s">
        <v>474</v>
      </c>
      <c r="B463" t="s">
        <v>977</v>
      </c>
      <c r="C463">
        <v>154.91</v>
      </c>
    </row>
    <row r="464" spans="1:3" ht="12.75">
      <c r="A464" s="3" t="s">
        <v>475</v>
      </c>
      <c r="B464" t="s">
        <v>978</v>
      </c>
      <c r="C464">
        <v>501.83</v>
      </c>
    </row>
    <row r="465" spans="1:3" ht="12.75">
      <c r="A465" s="3" t="s">
        <v>476</v>
      </c>
      <c r="B465" t="s">
        <v>979</v>
      </c>
      <c r="C465">
        <v>39.380000000000003</v>
      </c>
    </row>
    <row r="466" spans="1:3" ht="12.75">
      <c r="A466" s="3" t="s">
        <v>477</v>
      </c>
      <c r="B466" t="s">
        <v>980</v>
      </c>
      <c r="C466">
        <v>256.45</v>
      </c>
    </row>
    <row r="467" spans="1:3" ht="12.75">
      <c r="A467" s="3" t="s">
        <v>478</v>
      </c>
      <c r="B467" t="s">
        <v>981</v>
      </c>
      <c r="C467">
        <v>18.09</v>
      </c>
    </row>
    <row r="468" spans="1:3" ht="12.75">
      <c r="A468" s="3" t="s">
        <v>479</v>
      </c>
      <c r="B468" t="s">
        <v>982</v>
      </c>
      <c r="C468">
        <v>30.5</v>
      </c>
    </row>
    <row r="469" spans="1:3" ht="12.75">
      <c r="A469" s="3" t="s">
        <v>480</v>
      </c>
      <c r="B469" t="s">
        <v>983</v>
      </c>
      <c r="C469">
        <v>126.38</v>
      </c>
    </row>
    <row r="470" spans="1:3" ht="12.75">
      <c r="A470" s="3" t="s">
        <v>481</v>
      </c>
      <c r="B470" t="s">
        <v>984</v>
      </c>
      <c r="C470">
        <v>76.510000000000005</v>
      </c>
    </row>
    <row r="471" spans="1:3" ht="12.75">
      <c r="A471" s="3" t="s">
        <v>482</v>
      </c>
      <c r="B471" t="s">
        <v>985</v>
      </c>
      <c r="C471">
        <v>215.63</v>
      </c>
    </row>
    <row r="472" spans="1:3" ht="12.75">
      <c r="A472" s="3" t="s">
        <v>483</v>
      </c>
      <c r="B472" t="s">
        <v>986</v>
      </c>
      <c r="C472">
        <v>242.73</v>
      </c>
    </row>
    <row r="473" spans="1:3" ht="12.75">
      <c r="A473" s="3" t="s">
        <v>484</v>
      </c>
      <c r="B473" t="s">
        <v>987</v>
      </c>
      <c r="C473">
        <v>217.77</v>
      </c>
    </row>
    <row r="474" spans="1:3" ht="12.75">
      <c r="A474" s="3" t="s">
        <v>485</v>
      </c>
      <c r="B474" t="s">
        <v>988</v>
      </c>
      <c r="C474">
        <v>351.16</v>
      </c>
    </row>
    <row r="475" spans="1:3" ht="12.75">
      <c r="A475" s="3" t="s">
        <v>486</v>
      </c>
      <c r="B475" t="s">
        <v>989</v>
      </c>
      <c r="C475">
        <v>46.76</v>
      </c>
    </row>
    <row r="476" spans="1:3" ht="12.75">
      <c r="A476" s="3" t="s">
        <v>487</v>
      </c>
      <c r="B476" t="s">
        <v>990</v>
      </c>
      <c r="C476">
        <v>9.3699999999999992</v>
      </c>
    </row>
    <row r="477" spans="1:3" ht="12.75">
      <c r="A477" s="3" t="s">
        <v>488</v>
      </c>
      <c r="B477" t="s">
        <v>991</v>
      </c>
      <c r="C477">
        <v>38.58</v>
      </c>
    </row>
    <row r="478" spans="1:3" ht="12.75">
      <c r="A478" s="3" t="s">
        <v>489</v>
      </c>
      <c r="B478" t="s">
        <v>992</v>
      </c>
      <c r="C478">
        <v>120.12</v>
      </c>
    </row>
    <row r="479" spans="1:3" ht="12.75">
      <c r="A479" s="3" t="s">
        <v>490</v>
      </c>
      <c r="B479" t="s">
        <v>993</v>
      </c>
      <c r="C479">
        <v>288.85000000000002</v>
      </c>
    </row>
    <row r="480" spans="1:3" ht="12.75">
      <c r="A480" s="3" t="s">
        <v>491</v>
      </c>
      <c r="B480" t="s">
        <v>994</v>
      </c>
      <c r="C480">
        <v>20.79</v>
      </c>
    </row>
    <row r="481" spans="1:3" ht="12.75">
      <c r="A481" s="3" t="s">
        <v>492</v>
      </c>
      <c r="B481" t="s">
        <v>995</v>
      </c>
      <c r="C481">
        <v>11.33</v>
      </c>
    </row>
    <row r="482" spans="1:3" ht="12.75">
      <c r="A482" s="3" t="s">
        <v>493</v>
      </c>
      <c r="B482" t="s">
        <v>996</v>
      </c>
      <c r="C482">
        <v>48.39</v>
      </c>
    </row>
    <row r="483" spans="1:3" ht="12.75">
      <c r="A483" s="3" t="s">
        <v>494</v>
      </c>
      <c r="B483" t="s">
        <v>997</v>
      </c>
      <c r="C483">
        <v>84.97</v>
      </c>
    </row>
    <row r="484" spans="1:3" ht="12.75">
      <c r="A484" s="3" t="s">
        <v>495</v>
      </c>
      <c r="B484" t="s">
        <v>998</v>
      </c>
      <c r="C484">
        <v>89.46</v>
      </c>
    </row>
    <row r="485" spans="1:3" ht="12.75">
      <c r="A485" s="3" t="s">
        <v>496</v>
      </c>
      <c r="B485" t="s">
        <v>999</v>
      </c>
      <c r="C485">
        <v>45.02</v>
      </c>
    </row>
    <row r="486" spans="1:3" ht="12.75">
      <c r="A486" s="3" t="s">
        <v>497</v>
      </c>
      <c r="B486" t="s">
        <v>1000</v>
      </c>
      <c r="C486">
        <v>113.68</v>
      </c>
    </row>
    <row r="487" spans="1:3" ht="12.75">
      <c r="A487" s="3" t="s">
        <v>498</v>
      </c>
      <c r="B487" t="s">
        <v>1001</v>
      </c>
      <c r="C487">
        <v>173.8</v>
      </c>
    </row>
    <row r="488" spans="1:3" ht="12.75">
      <c r="A488" s="3" t="s">
        <v>499</v>
      </c>
      <c r="B488" t="s">
        <v>1002</v>
      </c>
      <c r="C488">
        <v>37.28</v>
      </c>
    </row>
    <row r="489" spans="1:3" ht="12.75">
      <c r="A489" s="3" t="s">
        <v>500</v>
      </c>
      <c r="B489" t="s">
        <v>1003</v>
      </c>
      <c r="C489">
        <v>154.34</v>
      </c>
    </row>
    <row r="490" spans="1:3" ht="12.75">
      <c r="A490" s="3" t="s">
        <v>501</v>
      </c>
      <c r="B490" t="s">
        <v>1004</v>
      </c>
      <c r="C490">
        <v>73.260000000000005</v>
      </c>
    </row>
    <row r="491" spans="1:3" ht="12.75">
      <c r="A491" s="3" t="s">
        <v>502</v>
      </c>
      <c r="B491" t="s">
        <v>1005</v>
      </c>
      <c r="C491">
        <v>41.73</v>
      </c>
    </row>
    <row r="492" spans="1:3" ht="12.75">
      <c r="A492" s="3" t="s">
        <v>503</v>
      </c>
      <c r="B492" t="s">
        <v>1006</v>
      </c>
      <c r="C492">
        <v>351.79</v>
      </c>
    </row>
    <row r="493" spans="1:3" ht="12.75">
      <c r="A493" s="3" t="s">
        <v>504</v>
      </c>
      <c r="B493" t="s">
        <v>1007</v>
      </c>
      <c r="C493">
        <v>245.41</v>
      </c>
    </row>
    <row r="494" spans="1:3" ht="12.75">
      <c r="A494" s="3" t="s">
        <v>505</v>
      </c>
      <c r="B494" t="s">
        <v>1008</v>
      </c>
      <c r="C494">
        <v>31.74</v>
      </c>
    </row>
    <row r="495" spans="1:3" ht="12.75">
      <c r="A495" s="3" t="s">
        <v>506</v>
      </c>
      <c r="B495" t="s">
        <v>1009</v>
      </c>
      <c r="C495">
        <v>85.15</v>
      </c>
    </row>
    <row r="496" spans="1:3" ht="12.75">
      <c r="A496" s="3" t="s">
        <v>507</v>
      </c>
      <c r="B496" t="s">
        <v>1010</v>
      </c>
      <c r="C496">
        <v>61.43</v>
      </c>
    </row>
    <row r="497" spans="1:3" ht="12.75">
      <c r="A497" s="3" t="s">
        <v>508</v>
      </c>
      <c r="B497" t="s">
        <v>1011</v>
      </c>
      <c r="C497">
        <v>102.99</v>
      </c>
    </row>
    <row r="498" spans="1:3" ht="12.75">
      <c r="A498" s="3" t="s">
        <v>509</v>
      </c>
      <c r="B498" t="s">
        <v>1012</v>
      </c>
      <c r="C498">
        <v>32.549999999999997</v>
      </c>
    </row>
    <row r="499" spans="1:3" ht="12.75">
      <c r="A499" s="3" t="s">
        <v>510</v>
      </c>
      <c r="B499" t="s">
        <v>1013</v>
      </c>
      <c r="C499">
        <v>106.2</v>
      </c>
    </row>
    <row r="500" spans="1:3" ht="12.75">
      <c r="A500" s="3" t="s">
        <v>511</v>
      </c>
      <c r="B500" t="s">
        <v>1014</v>
      </c>
      <c r="C500">
        <v>127.33</v>
      </c>
    </row>
    <row r="501" spans="1:3" ht="12.75">
      <c r="A501" s="3" t="s">
        <v>512</v>
      </c>
      <c r="B501" t="s">
        <v>1015</v>
      </c>
      <c r="C501">
        <v>117.97</v>
      </c>
    </row>
    <row r="502" spans="1:3" ht="12.75">
      <c r="A502" s="3" t="s">
        <v>513</v>
      </c>
      <c r="B502" t="s">
        <v>1016</v>
      </c>
      <c r="C502">
        <v>241.22</v>
      </c>
    </row>
    <row r="503" spans="1:3" ht="12.75">
      <c r="A503" s="3" t="s">
        <v>514</v>
      </c>
      <c r="B503" t="s">
        <v>1017</v>
      </c>
      <c r="C503">
        <v>38.32</v>
      </c>
    </row>
    <row r="504" spans="1:3" ht="12.75">
      <c r="A504" s="3" t="s">
        <v>515</v>
      </c>
      <c r="B504" t="s">
        <v>1018</v>
      </c>
      <c r="C504">
        <v>179.13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504"/>
  <sheetViews>
    <sheetView workbookViewId="0"/>
  </sheetViews>
  <sheetFormatPr defaultColWidth="12.5703125" defaultRowHeight="15.75" customHeight="1"/>
  <sheetData>
    <row r="1" spans="1:3" ht="15.75" customHeight="1">
      <c r="A1" s="3" t="s">
        <v>0</v>
      </c>
      <c r="B1" s="3" t="s">
        <v>1</v>
      </c>
      <c r="C1" s="3" t="s">
        <v>2</v>
      </c>
    </row>
    <row r="2" spans="1:3" ht="15.75" customHeight="1">
      <c r="A2" s="3" t="s">
        <v>13</v>
      </c>
      <c r="B2" t="s">
        <v>516</v>
      </c>
      <c r="C2">
        <v>126.62</v>
      </c>
    </row>
    <row r="3" spans="1:3" ht="15.75" customHeight="1">
      <c r="A3" s="3" t="s">
        <v>14</v>
      </c>
      <c r="B3" t="s">
        <v>517</v>
      </c>
      <c r="C3">
        <v>12.31</v>
      </c>
    </row>
    <row r="4" spans="1:3" ht="15.75" customHeight="1">
      <c r="A4" s="3" t="s">
        <v>15</v>
      </c>
      <c r="B4" t="s">
        <v>518</v>
      </c>
      <c r="C4">
        <v>189.97</v>
      </c>
    </row>
    <row r="5" spans="1:3" ht="15.75" customHeight="1">
      <c r="A5" s="3" t="s">
        <v>16</v>
      </c>
      <c r="B5" t="s">
        <v>519</v>
      </c>
      <c r="C5">
        <v>138.66999999999999</v>
      </c>
    </row>
    <row r="6" spans="1:3" ht="15.75" customHeight="1">
      <c r="A6" s="3" t="s">
        <v>17</v>
      </c>
      <c r="B6" t="s">
        <v>520</v>
      </c>
      <c r="C6">
        <v>128.37</v>
      </c>
    </row>
    <row r="7" spans="1:3" ht="15.75" customHeight="1">
      <c r="A7" s="3" t="s">
        <v>18</v>
      </c>
      <c r="B7" t="s">
        <v>521</v>
      </c>
      <c r="C7">
        <v>102.87</v>
      </c>
    </row>
    <row r="8" spans="1:3" ht="15.75" customHeight="1">
      <c r="A8" s="3" t="s">
        <v>19</v>
      </c>
      <c r="B8" t="s">
        <v>522</v>
      </c>
      <c r="C8">
        <v>86.6</v>
      </c>
    </row>
    <row r="9" spans="1:3" ht="15.75" customHeight="1">
      <c r="A9" s="3" t="s">
        <v>20</v>
      </c>
      <c r="B9" t="s">
        <v>523</v>
      </c>
      <c r="C9">
        <v>334.04</v>
      </c>
    </row>
    <row r="10" spans="1:3" ht="15.75" customHeight="1">
      <c r="A10" s="3" t="s">
        <v>21</v>
      </c>
      <c r="B10" t="s">
        <v>524</v>
      </c>
      <c r="C10">
        <v>619.42999999999995</v>
      </c>
    </row>
    <row r="11" spans="1:3" ht="15.75" customHeight="1">
      <c r="A11" s="3" t="s">
        <v>22</v>
      </c>
      <c r="B11" t="s">
        <v>525</v>
      </c>
      <c r="C11">
        <v>183.05</v>
      </c>
    </row>
    <row r="12" spans="1:3" ht="15.75" customHeight="1">
      <c r="A12" s="3" t="s">
        <v>23</v>
      </c>
      <c r="B12" t="s">
        <v>526</v>
      </c>
      <c r="C12">
        <v>74.3</v>
      </c>
    </row>
    <row r="13" spans="1:3" ht="15.75" customHeight="1">
      <c r="A13" s="3" t="s">
        <v>24</v>
      </c>
      <c r="B13" t="s">
        <v>527</v>
      </c>
      <c r="C13">
        <v>230.66</v>
      </c>
    </row>
    <row r="14" spans="1:3" ht="15.75" customHeight="1">
      <c r="A14" s="3" t="s">
        <v>25</v>
      </c>
      <c r="B14" t="s">
        <v>528</v>
      </c>
      <c r="C14">
        <v>203.42</v>
      </c>
    </row>
    <row r="15" spans="1:3" ht="15.75" customHeight="1">
      <c r="A15" s="3" t="s">
        <v>26</v>
      </c>
      <c r="B15" t="s">
        <v>529</v>
      </c>
      <c r="C15">
        <v>77.17</v>
      </c>
    </row>
    <row r="16" spans="1:3" ht="15.75" customHeight="1">
      <c r="A16" s="3" t="s">
        <v>27</v>
      </c>
      <c r="B16" t="s">
        <v>530</v>
      </c>
      <c r="C16">
        <v>78.5</v>
      </c>
    </row>
    <row r="17" spans="1:3" ht="15.75" customHeight="1">
      <c r="A17" s="3" t="s">
        <v>28</v>
      </c>
      <c r="B17" t="s">
        <v>531</v>
      </c>
      <c r="C17">
        <v>16.93</v>
      </c>
    </row>
    <row r="18" spans="1:3" ht="15.75" customHeight="1">
      <c r="A18" s="3" t="s">
        <v>29</v>
      </c>
      <c r="B18" t="s">
        <v>532</v>
      </c>
      <c r="C18">
        <v>82.94</v>
      </c>
    </row>
    <row r="19" spans="1:3" ht="15.75" customHeight="1">
      <c r="A19" s="3" t="s">
        <v>30</v>
      </c>
      <c r="B19" t="s">
        <v>533</v>
      </c>
      <c r="C19">
        <v>65.209999999999994</v>
      </c>
    </row>
    <row r="20" spans="1:3" ht="15.75" customHeight="1">
      <c r="A20" s="3" t="s">
        <v>31</v>
      </c>
      <c r="B20" t="s">
        <v>534</v>
      </c>
      <c r="C20">
        <v>165.8</v>
      </c>
    </row>
    <row r="21" spans="1:3" ht="15.75" customHeight="1">
      <c r="A21" s="3" t="s">
        <v>32</v>
      </c>
      <c r="B21" t="s">
        <v>535</v>
      </c>
      <c r="C21">
        <v>252.92</v>
      </c>
    </row>
    <row r="22" spans="1:3" ht="15.75" customHeight="1">
      <c r="A22" s="3" t="s">
        <v>33</v>
      </c>
      <c r="B22" t="s">
        <v>536</v>
      </c>
      <c r="C22">
        <v>113.65</v>
      </c>
    </row>
    <row r="23" spans="1:3" ht="12.75">
      <c r="A23" s="3" t="s">
        <v>34</v>
      </c>
      <c r="B23" t="s">
        <v>537</v>
      </c>
      <c r="C23">
        <v>128.87</v>
      </c>
    </row>
    <row r="24" spans="1:3" ht="12.75">
      <c r="A24" s="3" t="s">
        <v>35</v>
      </c>
      <c r="B24" t="s">
        <v>538</v>
      </c>
      <c r="C24">
        <v>219.48</v>
      </c>
    </row>
    <row r="25" spans="1:3" ht="12.75">
      <c r="A25" s="3" t="s">
        <v>36</v>
      </c>
      <c r="B25" t="s">
        <v>539</v>
      </c>
      <c r="C25">
        <v>37.200000000000003</v>
      </c>
    </row>
    <row r="26" spans="1:3" ht="12.75">
      <c r="A26" s="3" t="s">
        <v>37</v>
      </c>
      <c r="B26" t="s">
        <v>540</v>
      </c>
      <c r="C26">
        <v>136.61000000000001</v>
      </c>
    </row>
    <row r="27" spans="1:3" ht="12.75">
      <c r="A27" s="3" t="s">
        <v>38</v>
      </c>
      <c r="B27" t="s">
        <v>541</v>
      </c>
      <c r="C27">
        <v>105.04</v>
      </c>
    </row>
    <row r="28" spans="1:3" ht="12.75">
      <c r="A28" s="3" t="s">
        <v>39</v>
      </c>
      <c r="B28" t="s">
        <v>542</v>
      </c>
      <c r="C28">
        <v>150.34</v>
      </c>
    </row>
    <row r="29" spans="1:3" ht="12.75">
      <c r="A29" s="3" t="s">
        <v>40</v>
      </c>
      <c r="B29" t="s">
        <v>543</v>
      </c>
      <c r="C29">
        <v>9.36</v>
      </c>
    </row>
    <row r="30" spans="1:3" ht="12.75">
      <c r="A30" s="3" t="s">
        <v>41</v>
      </c>
      <c r="B30" t="s">
        <v>544</v>
      </c>
      <c r="C30">
        <v>122.31</v>
      </c>
    </row>
    <row r="31" spans="1:3" ht="12.75">
      <c r="A31" s="3" t="s">
        <v>42</v>
      </c>
      <c r="B31" t="s">
        <v>545</v>
      </c>
      <c r="C31">
        <v>156.18</v>
      </c>
    </row>
    <row r="32" spans="1:3" ht="12.75">
      <c r="A32" s="3" t="s">
        <v>43</v>
      </c>
      <c r="B32" t="s">
        <v>546</v>
      </c>
      <c r="C32">
        <v>265.45999999999998</v>
      </c>
    </row>
    <row r="33" spans="1:3" ht="12.75">
      <c r="A33" s="3" t="s">
        <v>44</v>
      </c>
      <c r="B33" t="s">
        <v>547</v>
      </c>
      <c r="C33">
        <v>351.42</v>
      </c>
    </row>
    <row r="34" spans="1:3" ht="12.75">
      <c r="A34" s="3" t="s">
        <v>45</v>
      </c>
      <c r="B34" t="s">
        <v>548</v>
      </c>
      <c r="C34">
        <v>199.32</v>
      </c>
    </row>
    <row r="35" spans="1:3" ht="12.75">
      <c r="A35" s="3" t="s">
        <v>46</v>
      </c>
      <c r="B35" t="s">
        <v>549</v>
      </c>
      <c r="C35">
        <v>146.74</v>
      </c>
    </row>
    <row r="36" spans="1:3" ht="12.75">
      <c r="A36" s="3" t="s">
        <v>47</v>
      </c>
      <c r="B36" t="s">
        <v>550</v>
      </c>
      <c r="C36">
        <v>218.39</v>
      </c>
    </row>
    <row r="37" spans="1:3" ht="12.75">
      <c r="A37" s="3" t="s">
        <v>48</v>
      </c>
      <c r="B37" t="s">
        <v>551</v>
      </c>
      <c r="C37">
        <v>297.89999999999998</v>
      </c>
    </row>
    <row r="38" spans="1:3" ht="12.75">
      <c r="A38" s="3" t="s">
        <v>49</v>
      </c>
      <c r="B38" t="s">
        <v>552</v>
      </c>
      <c r="C38">
        <v>330.02</v>
      </c>
    </row>
    <row r="39" spans="1:3" ht="12.75">
      <c r="A39" s="3" t="s">
        <v>50</v>
      </c>
      <c r="B39" t="s">
        <v>553</v>
      </c>
      <c r="C39">
        <v>76.010000000000005</v>
      </c>
    </row>
    <row r="40" spans="1:3" ht="12.75">
      <c r="A40" s="3" t="s">
        <v>51</v>
      </c>
      <c r="B40" t="s">
        <v>554</v>
      </c>
      <c r="C40">
        <v>36.880000000000003</v>
      </c>
    </row>
    <row r="41" spans="1:3" ht="12.75">
      <c r="A41" s="3" t="s">
        <v>52</v>
      </c>
      <c r="B41" t="s">
        <v>555</v>
      </c>
      <c r="C41">
        <v>274.5</v>
      </c>
    </row>
    <row r="42" spans="1:3" ht="12.75">
      <c r="A42" s="3" t="s">
        <v>53</v>
      </c>
      <c r="B42" t="s">
        <v>556</v>
      </c>
      <c r="C42">
        <v>90.36</v>
      </c>
    </row>
    <row r="43" spans="1:3" ht="12.75">
      <c r="A43" s="3" t="s">
        <v>54</v>
      </c>
      <c r="B43" t="s">
        <v>557</v>
      </c>
      <c r="C43">
        <v>83.11</v>
      </c>
    </row>
    <row r="44" spans="1:3" ht="12.75">
      <c r="A44" s="3" t="s">
        <v>55</v>
      </c>
      <c r="B44" t="s">
        <v>558</v>
      </c>
      <c r="C44">
        <v>105.18</v>
      </c>
    </row>
    <row r="45" spans="1:3" ht="12.75">
      <c r="A45" s="3" t="s">
        <v>56</v>
      </c>
      <c r="B45" t="s">
        <v>559</v>
      </c>
      <c r="C45">
        <v>112</v>
      </c>
    </row>
    <row r="46" spans="1:3" ht="12.75">
      <c r="A46" s="3" t="s">
        <v>57</v>
      </c>
      <c r="B46" t="s">
        <v>560</v>
      </c>
      <c r="C46">
        <v>173.37</v>
      </c>
    </row>
    <row r="47" spans="1:3" ht="12.75">
      <c r="A47" s="3" t="s">
        <v>58</v>
      </c>
      <c r="B47" t="s">
        <v>561</v>
      </c>
      <c r="C47">
        <v>978.87</v>
      </c>
    </row>
    <row r="48" spans="1:3" ht="12.75">
      <c r="A48" s="3" t="s">
        <v>59</v>
      </c>
      <c r="B48" t="s">
        <v>562</v>
      </c>
      <c r="C48">
        <v>189.74</v>
      </c>
    </row>
    <row r="49" spans="1:3" ht="12.75">
      <c r="A49" s="3" t="s">
        <v>60</v>
      </c>
      <c r="B49" t="s">
        <v>563</v>
      </c>
      <c r="C49">
        <v>132.06</v>
      </c>
    </row>
    <row r="50" spans="1:3" ht="12.75">
      <c r="A50" s="3" t="s">
        <v>61</v>
      </c>
      <c r="B50" t="s">
        <v>564</v>
      </c>
      <c r="C50">
        <v>228.42</v>
      </c>
    </row>
    <row r="51" spans="1:3" ht="12.75">
      <c r="A51" s="3" t="s">
        <v>62</v>
      </c>
      <c r="B51" t="s">
        <v>565</v>
      </c>
      <c r="C51">
        <v>164.42</v>
      </c>
    </row>
    <row r="52" spans="1:3" ht="12.75">
      <c r="A52" s="3" t="s">
        <v>63</v>
      </c>
      <c r="B52" t="s">
        <v>566</v>
      </c>
      <c r="C52">
        <v>2688</v>
      </c>
    </row>
    <row r="53" spans="1:3" ht="12.75">
      <c r="A53" s="3" t="s">
        <v>64</v>
      </c>
      <c r="B53" t="s">
        <v>567</v>
      </c>
      <c r="C53">
        <v>220</v>
      </c>
    </row>
    <row r="54" spans="1:3" ht="12.75">
      <c r="A54" s="3" t="s">
        <v>65</v>
      </c>
      <c r="B54" t="s">
        <v>568</v>
      </c>
      <c r="C54">
        <v>29.73</v>
      </c>
    </row>
    <row r="55" spans="1:3" ht="12.75">
      <c r="A55" s="3" t="s">
        <v>66</v>
      </c>
      <c r="B55" t="s">
        <v>569</v>
      </c>
      <c r="C55">
        <v>54.28</v>
      </c>
    </row>
    <row r="56" spans="1:3" ht="12.75">
      <c r="A56" s="3" t="s">
        <v>67</v>
      </c>
      <c r="B56" t="s">
        <v>570</v>
      </c>
      <c r="C56">
        <v>36.020000000000003</v>
      </c>
    </row>
    <row r="57" spans="1:3" ht="12.75">
      <c r="A57" s="3" t="s">
        <v>68</v>
      </c>
      <c r="B57" t="s">
        <v>571</v>
      </c>
      <c r="C57">
        <v>30.03</v>
      </c>
    </row>
    <row r="58" spans="1:3" ht="12.75">
      <c r="A58" s="3" t="s">
        <v>69</v>
      </c>
      <c r="B58" t="s">
        <v>572</v>
      </c>
      <c r="C58">
        <v>69.510000000000005</v>
      </c>
    </row>
    <row r="59" spans="1:3" ht="12.75">
      <c r="A59" s="3" t="s">
        <v>70</v>
      </c>
      <c r="B59" t="s">
        <v>573</v>
      </c>
      <c r="C59">
        <v>238.89</v>
      </c>
    </row>
    <row r="60" spans="1:3" ht="12.75">
      <c r="A60" s="3" t="s">
        <v>71</v>
      </c>
      <c r="B60" t="s">
        <v>574</v>
      </c>
      <c r="C60">
        <v>23.82</v>
      </c>
    </row>
    <row r="61" spans="1:3" ht="12.75">
      <c r="A61" s="3" t="s">
        <v>72</v>
      </c>
      <c r="B61" t="s">
        <v>575</v>
      </c>
      <c r="C61">
        <v>59.75</v>
      </c>
    </row>
    <row r="62" spans="1:3" ht="12.75">
      <c r="A62" s="3" t="s">
        <v>73</v>
      </c>
      <c r="B62" t="s">
        <v>576</v>
      </c>
      <c r="C62">
        <v>108.01</v>
      </c>
    </row>
    <row r="63" spans="1:3" ht="12.75">
      <c r="A63" s="3" t="s">
        <v>74</v>
      </c>
      <c r="B63" t="s">
        <v>577</v>
      </c>
      <c r="C63">
        <v>231.95</v>
      </c>
    </row>
    <row r="64" spans="1:3" ht="12.75">
      <c r="A64" s="3" t="s">
        <v>75</v>
      </c>
      <c r="B64" t="s">
        <v>578</v>
      </c>
      <c r="C64">
        <v>311.19</v>
      </c>
    </row>
    <row r="65" spans="1:3" ht="12.75">
      <c r="A65" s="3" t="s">
        <v>76</v>
      </c>
      <c r="B65" t="s">
        <v>579</v>
      </c>
      <c r="C65">
        <v>47.35</v>
      </c>
    </row>
    <row r="66" spans="1:3" ht="12.75">
      <c r="A66" s="3" t="s">
        <v>77</v>
      </c>
      <c r="B66" t="s">
        <v>580</v>
      </c>
      <c r="C66">
        <v>3115.59</v>
      </c>
    </row>
    <row r="67" spans="1:3" ht="12.75">
      <c r="A67" s="3" t="s">
        <v>78</v>
      </c>
      <c r="B67" t="s">
        <v>581</v>
      </c>
      <c r="C67">
        <v>33.89</v>
      </c>
    </row>
    <row r="68" spans="1:3" ht="12.75">
      <c r="A68" s="3" t="s">
        <v>79</v>
      </c>
      <c r="B68" t="s">
        <v>582</v>
      </c>
      <c r="C68">
        <v>730.1</v>
      </c>
    </row>
    <row r="69" spans="1:3" ht="12.75">
      <c r="A69" s="3" t="s">
        <v>80</v>
      </c>
      <c r="B69" t="s">
        <v>583</v>
      </c>
      <c r="C69">
        <v>49.76</v>
      </c>
    </row>
    <row r="70" spans="1:3" ht="12.75">
      <c r="A70" s="3" t="s">
        <v>81</v>
      </c>
      <c r="B70" t="s">
        <v>584</v>
      </c>
      <c r="C70">
        <v>186.59</v>
      </c>
    </row>
    <row r="71" spans="1:3" ht="12.75">
      <c r="A71" s="3" t="s">
        <v>82</v>
      </c>
      <c r="B71" t="s">
        <v>585</v>
      </c>
      <c r="C71">
        <v>362.68</v>
      </c>
    </row>
    <row r="72" spans="1:3" ht="12.75">
      <c r="A72" s="3" t="s">
        <v>83</v>
      </c>
      <c r="B72" t="s">
        <v>586</v>
      </c>
      <c r="C72">
        <v>74.53</v>
      </c>
    </row>
    <row r="73" spans="1:3" ht="12.75">
      <c r="A73" s="3" t="s">
        <v>84</v>
      </c>
      <c r="B73" t="s">
        <v>587</v>
      </c>
      <c r="C73">
        <v>55.63</v>
      </c>
    </row>
    <row r="74" spans="1:3" ht="12.75">
      <c r="A74" s="3" t="s">
        <v>85</v>
      </c>
      <c r="B74" t="s">
        <v>588</v>
      </c>
      <c r="C74">
        <v>34.340000000000003</v>
      </c>
    </row>
    <row r="75" spans="1:3" ht="12.75">
      <c r="A75" s="3" t="s">
        <v>86</v>
      </c>
      <c r="B75" t="s">
        <v>589</v>
      </c>
      <c r="C75">
        <v>107</v>
      </c>
    </row>
    <row r="76" spans="1:3" ht="12.75">
      <c r="A76" s="3" t="s">
        <v>87</v>
      </c>
      <c r="B76" t="s">
        <v>590</v>
      </c>
      <c r="C76">
        <v>53.71</v>
      </c>
    </row>
    <row r="77" spans="1:3" ht="12.75">
      <c r="A77" s="3" t="s">
        <v>88</v>
      </c>
      <c r="B77" t="s">
        <v>591</v>
      </c>
      <c r="C77">
        <v>45.23</v>
      </c>
    </row>
    <row r="78" spans="1:3" ht="12.75">
      <c r="A78" s="3" t="s">
        <v>89</v>
      </c>
      <c r="B78" t="s">
        <v>592</v>
      </c>
      <c r="C78">
        <v>28.49</v>
      </c>
    </row>
    <row r="79" spans="1:3" ht="12.75">
      <c r="A79" s="3" t="s">
        <v>90</v>
      </c>
      <c r="B79" t="s">
        <v>593</v>
      </c>
      <c r="C79">
        <v>106.27</v>
      </c>
    </row>
    <row r="80" spans="1:3" ht="12.75">
      <c r="A80" s="3" t="s">
        <v>91</v>
      </c>
      <c r="B80" t="s">
        <v>594</v>
      </c>
      <c r="C80">
        <v>52.98</v>
      </c>
    </row>
    <row r="81" spans="1:3" ht="12.75">
      <c r="A81" s="3" t="s">
        <v>92</v>
      </c>
      <c r="B81" t="s">
        <v>595</v>
      </c>
      <c r="C81">
        <v>247.36</v>
      </c>
    </row>
    <row r="82" spans="1:3" ht="12.75">
      <c r="A82" s="3" t="s">
        <v>93</v>
      </c>
      <c r="B82" t="s">
        <v>596</v>
      </c>
      <c r="C82">
        <v>227.04</v>
      </c>
    </row>
    <row r="83" spans="1:3" ht="12.75">
      <c r="A83" s="3" t="s">
        <v>94</v>
      </c>
      <c r="B83" t="s">
        <v>597</v>
      </c>
      <c r="C83">
        <v>180.06</v>
      </c>
    </row>
    <row r="84" spans="1:3" ht="12.75">
      <c r="A84" s="3" t="s">
        <v>95</v>
      </c>
      <c r="B84" t="s">
        <v>598</v>
      </c>
      <c r="C84">
        <v>79.010000000000005</v>
      </c>
    </row>
    <row r="85" spans="1:3" ht="12.75">
      <c r="A85" s="3" t="s">
        <v>96</v>
      </c>
      <c r="B85" t="s">
        <v>599</v>
      </c>
      <c r="C85">
        <v>103.58</v>
      </c>
    </row>
    <row r="86" spans="1:3" ht="12.75">
      <c r="A86" s="3" t="s">
        <v>97</v>
      </c>
      <c r="B86" t="s">
        <v>600</v>
      </c>
      <c r="C86">
        <v>14.41</v>
      </c>
    </row>
    <row r="87" spans="1:3" ht="12.75">
      <c r="A87" s="3" t="s">
        <v>98</v>
      </c>
      <c r="B87" t="s">
        <v>601</v>
      </c>
      <c r="C87">
        <v>67.22</v>
      </c>
    </row>
    <row r="88" spans="1:3" ht="12.75">
      <c r="A88" s="3" t="s">
        <v>99</v>
      </c>
      <c r="B88" t="s">
        <v>602</v>
      </c>
      <c r="C88">
        <v>270.61</v>
      </c>
    </row>
    <row r="89" spans="1:3" ht="12.75">
      <c r="A89" s="3" t="s">
        <v>100</v>
      </c>
      <c r="B89" t="s">
        <v>603</v>
      </c>
      <c r="C89">
        <v>216.69</v>
      </c>
    </row>
    <row r="90" spans="1:3" ht="12.75">
      <c r="A90" s="3" t="s">
        <v>101</v>
      </c>
      <c r="B90" t="s">
        <v>604</v>
      </c>
      <c r="C90">
        <v>132.94</v>
      </c>
    </row>
    <row r="91" spans="1:3" ht="12.75">
      <c r="A91" s="3" t="s">
        <v>102</v>
      </c>
      <c r="B91" t="s">
        <v>605</v>
      </c>
      <c r="C91">
        <v>123.86</v>
      </c>
    </row>
    <row r="92" spans="1:3" ht="12.75">
      <c r="A92" s="3" t="s">
        <v>103</v>
      </c>
      <c r="B92" t="s">
        <v>606</v>
      </c>
      <c r="C92">
        <v>78.36</v>
      </c>
    </row>
    <row r="93" spans="1:3" ht="12.75">
      <c r="A93" s="3" t="s">
        <v>104</v>
      </c>
      <c r="B93" t="s">
        <v>607</v>
      </c>
      <c r="C93">
        <v>26.87</v>
      </c>
    </row>
    <row r="94" spans="1:3" ht="12.75">
      <c r="A94" s="3" t="s">
        <v>105</v>
      </c>
      <c r="B94" t="s">
        <v>608</v>
      </c>
      <c r="C94">
        <v>94.83</v>
      </c>
    </row>
    <row r="95" spans="1:3" ht="12.75">
      <c r="A95" s="3" t="s">
        <v>106</v>
      </c>
      <c r="B95" t="s">
        <v>609</v>
      </c>
      <c r="C95">
        <v>82.51</v>
      </c>
    </row>
    <row r="96" spans="1:3" ht="12.75">
      <c r="A96" s="3" t="s">
        <v>107</v>
      </c>
      <c r="B96" t="s">
        <v>610</v>
      </c>
      <c r="C96">
        <v>405.92</v>
      </c>
    </row>
    <row r="97" spans="1:3" ht="12.75">
      <c r="A97" s="3" t="s">
        <v>108</v>
      </c>
      <c r="B97" t="s">
        <v>611</v>
      </c>
      <c r="C97">
        <v>287.85000000000002</v>
      </c>
    </row>
    <row r="98" spans="1:3" ht="12.75">
      <c r="A98" s="3" t="s">
        <v>109</v>
      </c>
      <c r="B98" t="s">
        <v>612</v>
      </c>
      <c r="C98">
        <v>102.68</v>
      </c>
    </row>
    <row r="99" spans="1:3" ht="12.75">
      <c r="A99" s="3" t="s">
        <v>110</v>
      </c>
      <c r="B99" t="s">
        <v>613</v>
      </c>
      <c r="C99">
        <v>77.31</v>
      </c>
    </row>
    <row r="100" spans="1:3" ht="12.75">
      <c r="A100" s="3" t="s">
        <v>111</v>
      </c>
      <c r="B100" t="s">
        <v>614</v>
      </c>
      <c r="C100">
        <v>141.19</v>
      </c>
    </row>
    <row r="101" spans="1:3" ht="12.75">
      <c r="A101" s="3" t="s">
        <v>112</v>
      </c>
      <c r="B101" t="s">
        <v>615</v>
      </c>
      <c r="C101">
        <v>43.76</v>
      </c>
    </row>
    <row r="102" spans="1:3" ht="12.75">
      <c r="A102" s="3" t="s">
        <v>113</v>
      </c>
      <c r="B102" t="s">
        <v>616</v>
      </c>
      <c r="C102">
        <v>42.58</v>
      </c>
    </row>
    <row r="103" spans="1:3" ht="12.75">
      <c r="A103" s="3" t="s">
        <v>114</v>
      </c>
      <c r="B103" t="s">
        <v>617</v>
      </c>
      <c r="C103">
        <v>217.19</v>
      </c>
    </row>
    <row r="104" spans="1:3" ht="12.75">
      <c r="A104" s="3" t="s">
        <v>115</v>
      </c>
      <c r="B104" t="s">
        <v>618</v>
      </c>
      <c r="C104">
        <v>2219.67</v>
      </c>
    </row>
    <row r="105" spans="1:3" ht="12.75">
      <c r="A105" s="3" t="s">
        <v>116</v>
      </c>
      <c r="B105" t="s">
        <v>619</v>
      </c>
      <c r="C105">
        <v>225.49</v>
      </c>
    </row>
    <row r="106" spans="1:3" ht="12.75">
      <c r="A106" s="3" t="s">
        <v>117</v>
      </c>
      <c r="B106" t="s">
        <v>620</v>
      </c>
      <c r="C106">
        <v>57.59</v>
      </c>
    </row>
    <row r="107" spans="1:3" ht="12.75">
      <c r="A107" s="3" t="s">
        <v>118</v>
      </c>
      <c r="B107" t="s">
        <v>621</v>
      </c>
      <c r="C107">
        <v>74.36</v>
      </c>
    </row>
    <row r="108" spans="1:3" ht="12.75">
      <c r="A108" s="3" t="s">
        <v>119</v>
      </c>
      <c r="B108" t="s">
        <v>622</v>
      </c>
      <c r="C108">
        <v>27.93</v>
      </c>
    </row>
    <row r="109" spans="1:3" ht="12.75">
      <c r="A109" s="3" t="s">
        <v>120</v>
      </c>
      <c r="B109" t="s">
        <v>623</v>
      </c>
      <c r="C109">
        <v>106.57</v>
      </c>
    </row>
    <row r="110" spans="1:3" ht="12.75">
      <c r="A110" s="3" t="s">
        <v>121</v>
      </c>
      <c r="B110" t="s">
        <v>624</v>
      </c>
      <c r="C110">
        <v>339.34</v>
      </c>
    </row>
    <row r="111" spans="1:3" ht="12.75">
      <c r="A111" s="3" t="s">
        <v>122</v>
      </c>
      <c r="B111" t="s">
        <v>625</v>
      </c>
      <c r="C111">
        <v>115.49</v>
      </c>
    </row>
    <row r="112" spans="1:3" ht="12.75">
      <c r="A112" s="3" t="s">
        <v>123</v>
      </c>
      <c r="B112" t="s">
        <v>626</v>
      </c>
      <c r="C112">
        <v>201.3</v>
      </c>
    </row>
    <row r="113" spans="1:3" ht="12.75">
      <c r="A113" s="3" t="s">
        <v>124</v>
      </c>
      <c r="B113" t="s">
        <v>627</v>
      </c>
      <c r="C113">
        <v>591.36</v>
      </c>
    </row>
    <row r="114" spans="1:3" ht="12.75">
      <c r="A114" s="3" t="s">
        <v>125</v>
      </c>
      <c r="B114" t="s">
        <v>628</v>
      </c>
      <c r="C114">
        <v>41.15</v>
      </c>
    </row>
    <row r="115" spans="1:3" ht="12.75">
      <c r="A115" s="3" t="s">
        <v>126</v>
      </c>
      <c r="B115" t="s">
        <v>629</v>
      </c>
      <c r="C115">
        <v>50.81</v>
      </c>
    </row>
    <row r="116" spans="1:3" ht="12.75">
      <c r="A116" s="3" t="s">
        <v>127</v>
      </c>
      <c r="B116" t="s">
        <v>630</v>
      </c>
      <c r="C116">
        <v>88.73</v>
      </c>
    </row>
    <row r="117" spans="1:3" ht="12.75">
      <c r="A117" s="3" t="s">
        <v>128</v>
      </c>
      <c r="B117" t="s">
        <v>631</v>
      </c>
      <c r="C117">
        <v>196.91</v>
      </c>
    </row>
    <row r="118" spans="1:3" ht="12.75">
      <c r="A118" s="3" t="s">
        <v>129</v>
      </c>
      <c r="B118" t="s">
        <v>632</v>
      </c>
      <c r="C118">
        <v>224.38</v>
      </c>
    </row>
    <row r="119" spans="1:3" ht="12.75">
      <c r="A119" s="3" t="s">
        <v>130</v>
      </c>
      <c r="B119" t="s">
        <v>633</v>
      </c>
      <c r="C119">
        <v>48.36</v>
      </c>
    </row>
    <row r="120" spans="1:3" ht="12.75">
      <c r="A120" s="3" t="s">
        <v>131</v>
      </c>
      <c r="B120" t="s">
        <v>634</v>
      </c>
      <c r="C120">
        <v>84.78</v>
      </c>
    </row>
    <row r="121" spans="1:3" ht="12.75">
      <c r="A121" s="3" t="s">
        <v>132</v>
      </c>
      <c r="B121" t="s">
        <v>635</v>
      </c>
      <c r="C121">
        <v>32.64</v>
      </c>
    </row>
    <row r="122" spans="1:3" ht="12.75">
      <c r="A122" s="3" t="s">
        <v>133</v>
      </c>
      <c r="B122" t="s">
        <v>636</v>
      </c>
      <c r="C122">
        <v>554.9</v>
      </c>
    </row>
    <row r="123" spans="1:3" ht="12.75">
      <c r="A123" s="3" t="s">
        <v>134</v>
      </c>
      <c r="B123" t="s">
        <v>637</v>
      </c>
      <c r="C123">
        <v>39.99</v>
      </c>
    </row>
    <row r="124" spans="1:3" ht="12.75">
      <c r="A124" s="3" t="s">
        <v>135</v>
      </c>
      <c r="B124" t="s">
        <v>638</v>
      </c>
      <c r="C124">
        <v>26.77</v>
      </c>
    </row>
    <row r="125" spans="1:3" ht="12.75">
      <c r="A125" s="3" t="s">
        <v>136</v>
      </c>
      <c r="B125" t="s">
        <v>639</v>
      </c>
      <c r="C125">
        <v>71.17</v>
      </c>
    </row>
    <row r="126" spans="1:3" ht="12.75">
      <c r="A126" s="3" t="s">
        <v>137</v>
      </c>
      <c r="B126" t="s">
        <v>640</v>
      </c>
      <c r="C126">
        <v>46.67</v>
      </c>
    </row>
    <row r="127" spans="1:3" ht="12.75">
      <c r="A127" s="3" t="s">
        <v>138</v>
      </c>
      <c r="B127" t="s">
        <v>641</v>
      </c>
      <c r="C127">
        <v>69.42</v>
      </c>
    </row>
    <row r="128" spans="1:3" ht="12.75">
      <c r="A128" s="3" t="s">
        <v>139</v>
      </c>
      <c r="B128" t="s">
        <v>642</v>
      </c>
      <c r="C128">
        <v>144.9</v>
      </c>
    </row>
    <row r="129" spans="1:3" ht="12.75">
      <c r="A129" s="3" t="s">
        <v>140</v>
      </c>
      <c r="B129" t="s">
        <v>643</v>
      </c>
      <c r="C129">
        <v>46.06</v>
      </c>
    </row>
    <row r="130" spans="1:3" ht="12.75">
      <c r="A130" s="3" t="s">
        <v>141</v>
      </c>
      <c r="B130" t="s">
        <v>644</v>
      </c>
      <c r="C130">
        <v>46.96</v>
      </c>
    </row>
    <row r="131" spans="1:3" ht="12.75">
      <c r="A131" s="3" t="s">
        <v>142</v>
      </c>
      <c r="B131" t="s">
        <v>645</v>
      </c>
      <c r="C131">
        <v>36.1</v>
      </c>
    </row>
    <row r="132" spans="1:3" ht="12.75">
      <c r="A132" s="3" t="s">
        <v>143</v>
      </c>
      <c r="B132" t="s">
        <v>646</v>
      </c>
      <c r="C132">
        <v>71.52</v>
      </c>
    </row>
    <row r="133" spans="1:3" ht="12.75">
      <c r="A133" s="3" t="s">
        <v>144</v>
      </c>
      <c r="B133" t="s">
        <v>647</v>
      </c>
      <c r="C133">
        <v>370.19</v>
      </c>
    </row>
    <row r="134" spans="1:3" ht="12.75">
      <c r="A134" s="3" t="s">
        <v>145</v>
      </c>
      <c r="B134" t="s">
        <v>648</v>
      </c>
      <c r="C134">
        <v>86.77</v>
      </c>
    </row>
    <row r="135" spans="1:3" ht="12.75">
      <c r="A135" s="3" t="s">
        <v>146</v>
      </c>
      <c r="B135" t="s">
        <v>649</v>
      </c>
      <c r="C135">
        <v>125.48</v>
      </c>
    </row>
    <row r="136" spans="1:3" ht="12.75">
      <c r="A136" s="3" t="s">
        <v>147</v>
      </c>
      <c r="B136" t="s">
        <v>650</v>
      </c>
      <c r="C136">
        <v>135.54</v>
      </c>
    </row>
    <row r="137" spans="1:3" ht="12.75">
      <c r="A137" s="3" t="s">
        <v>148</v>
      </c>
      <c r="B137" t="s">
        <v>651</v>
      </c>
      <c r="C137">
        <v>127.48</v>
      </c>
    </row>
    <row r="138" spans="1:3" ht="12.75">
      <c r="A138" s="3" t="s">
        <v>149</v>
      </c>
      <c r="B138" t="s">
        <v>652</v>
      </c>
      <c r="C138">
        <v>221.41</v>
      </c>
    </row>
    <row r="139" spans="1:3" ht="12.75">
      <c r="A139" s="3" t="s">
        <v>150</v>
      </c>
      <c r="B139" t="s">
        <v>653</v>
      </c>
      <c r="C139">
        <v>96.06</v>
      </c>
    </row>
    <row r="140" spans="1:3" ht="12.75">
      <c r="A140" s="3" t="s">
        <v>151</v>
      </c>
      <c r="B140" t="s">
        <v>654</v>
      </c>
      <c r="C140">
        <v>136.5</v>
      </c>
    </row>
    <row r="141" spans="1:3" ht="12.75">
      <c r="A141" s="3" t="s">
        <v>152</v>
      </c>
      <c r="B141" t="s">
        <v>655</v>
      </c>
      <c r="C141">
        <v>117.32</v>
      </c>
    </row>
    <row r="142" spans="1:3" ht="12.75">
      <c r="A142" s="3" t="s">
        <v>153</v>
      </c>
      <c r="B142" t="s">
        <v>656</v>
      </c>
      <c r="C142">
        <v>139.69</v>
      </c>
    </row>
    <row r="143" spans="1:3" ht="12.75">
      <c r="A143" s="3" t="s">
        <v>154</v>
      </c>
      <c r="B143" t="s">
        <v>657</v>
      </c>
      <c r="C143">
        <v>51.67</v>
      </c>
    </row>
    <row r="144" spans="1:3" ht="12.75">
      <c r="A144" s="3" t="s">
        <v>155</v>
      </c>
      <c r="B144" t="s">
        <v>658</v>
      </c>
      <c r="C144">
        <v>370.32</v>
      </c>
    </row>
    <row r="145" spans="1:3" ht="12.75">
      <c r="A145" s="3" t="s">
        <v>156</v>
      </c>
      <c r="B145" t="s">
        <v>659</v>
      </c>
      <c r="C145">
        <v>156.01</v>
      </c>
    </row>
    <row r="146" spans="1:3" ht="12.75">
      <c r="A146" s="3" t="s">
        <v>157</v>
      </c>
      <c r="B146" t="s">
        <v>660</v>
      </c>
      <c r="C146">
        <v>105.37</v>
      </c>
    </row>
    <row r="147" spans="1:3" ht="12.75">
      <c r="A147" s="3" t="s">
        <v>158</v>
      </c>
      <c r="B147" t="s">
        <v>661</v>
      </c>
      <c r="C147">
        <v>90.74</v>
      </c>
    </row>
    <row r="148" spans="1:3" ht="12.75">
      <c r="A148" s="3" t="s">
        <v>159</v>
      </c>
      <c r="B148" t="s">
        <v>662</v>
      </c>
      <c r="C148">
        <v>99.26</v>
      </c>
    </row>
    <row r="149" spans="1:3" ht="12.75">
      <c r="A149" s="3" t="s">
        <v>160</v>
      </c>
      <c r="B149" t="s">
        <v>663</v>
      </c>
      <c r="C149">
        <v>45.35</v>
      </c>
    </row>
    <row r="150" spans="1:3" ht="12.75">
      <c r="A150" s="3" t="s">
        <v>161</v>
      </c>
      <c r="B150" t="s">
        <v>664</v>
      </c>
      <c r="C150">
        <v>112.95</v>
      </c>
    </row>
    <row r="151" spans="1:3" ht="12.75">
      <c r="A151" s="3" t="s">
        <v>162</v>
      </c>
      <c r="B151" t="s">
        <v>665</v>
      </c>
      <c r="C151">
        <v>136.6</v>
      </c>
    </row>
    <row r="152" spans="1:3" ht="12.75">
      <c r="A152" s="3" t="s">
        <v>163</v>
      </c>
      <c r="B152" t="s">
        <v>666</v>
      </c>
      <c r="C152">
        <v>41.48</v>
      </c>
    </row>
    <row r="153" spans="1:3" ht="12.75">
      <c r="A153" s="3" t="s">
        <v>164</v>
      </c>
      <c r="B153" t="s">
        <v>667</v>
      </c>
      <c r="C153">
        <v>187.24</v>
      </c>
    </row>
    <row r="154" spans="1:3" ht="12.75">
      <c r="A154" s="3" t="s">
        <v>165</v>
      </c>
      <c r="B154" t="s">
        <v>668</v>
      </c>
      <c r="C154">
        <v>90.96</v>
      </c>
    </row>
    <row r="155" spans="1:3" ht="12.75">
      <c r="A155" s="3" t="s">
        <v>166</v>
      </c>
      <c r="B155" t="s">
        <v>669</v>
      </c>
      <c r="C155">
        <v>210.74</v>
      </c>
    </row>
    <row r="156" spans="1:3" ht="12.75">
      <c r="A156" s="3" t="s">
        <v>167</v>
      </c>
      <c r="B156" t="s">
        <v>670</v>
      </c>
      <c r="C156">
        <v>414.25</v>
      </c>
    </row>
    <row r="157" spans="1:3" ht="12.75">
      <c r="A157" s="3" t="s">
        <v>168</v>
      </c>
      <c r="B157" t="s">
        <v>671</v>
      </c>
      <c r="C157">
        <v>65.849999999999994</v>
      </c>
    </row>
    <row r="158" spans="1:3" ht="12.75">
      <c r="A158" s="3" t="s">
        <v>169</v>
      </c>
      <c r="B158" t="s">
        <v>672</v>
      </c>
      <c r="C158">
        <v>123.91</v>
      </c>
    </row>
    <row r="159" spans="1:3" ht="12.75">
      <c r="A159" s="3" t="s">
        <v>170</v>
      </c>
      <c r="B159" t="s">
        <v>673</v>
      </c>
      <c r="C159">
        <v>478.73</v>
      </c>
    </row>
    <row r="160" spans="1:3" ht="12.75">
      <c r="A160" s="3" t="s">
        <v>171</v>
      </c>
      <c r="B160" t="s">
        <v>674</v>
      </c>
      <c r="C160">
        <v>81.89</v>
      </c>
    </row>
    <row r="161" spans="1:3" ht="12.75">
      <c r="A161" s="3" t="s">
        <v>172</v>
      </c>
      <c r="B161" t="s">
        <v>675</v>
      </c>
      <c r="C161">
        <v>88.51</v>
      </c>
    </row>
    <row r="162" spans="1:3" ht="12.75">
      <c r="A162" s="3" t="s">
        <v>173</v>
      </c>
      <c r="B162" t="s">
        <v>676</v>
      </c>
      <c r="C162">
        <v>100.22</v>
      </c>
    </row>
    <row r="163" spans="1:3" ht="12.75">
      <c r="A163" s="3" t="s">
        <v>174</v>
      </c>
      <c r="B163" t="s">
        <v>677</v>
      </c>
      <c r="C163">
        <v>123.5</v>
      </c>
    </row>
    <row r="164" spans="1:3" ht="12.75">
      <c r="A164" s="3" t="s">
        <v>175</v>
      </c>
      <c r="B164" t="s">
        <v>678</v>
      </c>
      <c r="C164">
        <v>255.47</v>
      </c>
    </row>
    <row r="165" spans="1:3" ht="12.75">
      <c r="A165" s="3" t="s">
        <v>176</v>
      </c>
      <c r="B165" t="s">
        <v>679</v>
      </c>
      <c r="C165">
        <v>795</v>
      </c>
    </row>
    <row r="166" spans="1:3" ht="12.75">
      <c r="A166" s="3" t="s">
        <v>177</v>
      </c>
      <c r="B166" t="s">
        <v>680</v>
      </c>
      <c r="C166">
        <v>56.83</v>
      </c>
    </row>
    <row r="167" spans="1:3" ht="12.75">
      <c r="A167" s="3" t="s">
        <v>178</v>
      </c>
      <c r="B167" t="s">
        <v>681</v>
      </c>
      <c r="C167">
        <v>40.85</v>
      </c>
    </row>
    <row r="168" spans="1:3" ht="12.75">
      <c r="A168" s="3" t="s">
        <v>179</v>
      </c>
      <c r="B168" t="s">
        <v>682</v>
      </c>
      <c r="C168">
        <v>59.26</v>
      </c>
    </row>
    <row r="169" spans="1:3" ht="12.75">
      <c r="A169" s="3" t="s">
        <v>180</v>
      </c>
      <c r="B169" t="s">
        <v>683</v>
      </c>
      <c r="C169">
        <v>214.72</v>
      </c>
    </row>
    <row r="170" spans="1:3" ht="12.75">
      <c r="A170" s="3" t="s">
        <v>181</v>
      </c>
      <c r="B170" t="s">
        <v>684</v>
      </c>
      <c r="C170">
        <v>228.72</v>
      </c>
    </row>
    <row r="171" spans="1:3" ht="12.75">
      <c r="A171" s="3" t="s">
        <v>182</v>
      </c>
      <c r="B171" t="s">
        <v>685</v>
      </c>
      <c r="C171">
        <v>101.1</v>
      </c>
    </row>
    <row r="172" spans="1:3" ht="12.75">
      <c r="A172" s="3" t="s">
        <v>183</v>
      </c>
      <c r="B172" t="s">
        <v>686</v>
      </c>
      <c r="C172">
        <v>71.819999999999993</v>
      </c>
    </row>
    <row r="173" spans="1:3" ht="12.75">
      <c r="A173" s="3" t="s">
        <v>184</v>
      </c>
      <c r="B173" t="s">
        <v>687</v>
      </c>
      <c r="C173">
        <v>50.55</v>
      </c>
    </row>
    <row r="174" spans="1:3" ht="12.75">
      <c r="A174" s="3" t="s">
        <v>185</v>
      </c>
      <c r="B174" t="s">
        <v>688</v>
      </c>
      <c r="C174">
        <v>67.900000000000006</v>
      </c>
    </row>
    <row r="175" spans="1:3" ht="12.75">
      <c r="A175" s="3" t="s">
        <v>186</v>
      </c>
      <c r="B175" t="s">
        <v>689</v>
      </c>
      <c r="C175">
        <v>39.19</v>
      </c>
    </row>
    <row r="176" spans="1:3" ht="12.75">
      <c r="A176" s="3" t="s">
        <v>187</v>
      </c>
      <c r="B176" t="s">
        <v>690</v>
      </c>
      <c r="C176">
        <v>118.13</v>
      </c>
    </row>
    <row r="177" spans="1:3" ht="12.75">
      <c r="A177" s="3" t="s">
        <v>188</v>
      </c>
      <c r="B177" t="s">
        <v>691</v>
      </c>
      <c r="C177">
        <v>136.41999999999999</v>
      </c>
    </row>
    <row r="178" spans="1:3" ht="12.75">
      <c r="A178" s="3" t="s">
        <v>189</v>
      </c>
      <c r="B178" t="s">
        <v>692</v>
      </c>
      <c r="C178">
        <v>127.12</v>
      </c>
    </row>
    <row r="179" spans="1:3" ht="12.75">
      <c r="A179" s="3" t="s">
        <v>190</v>
      </c>
      <c r="B179" t="s">
        <v>693</v>
      </c>
      <c r="C179">
        <v>10.4</v>
      </c>
    </row>
    <row r="180" spans="1:3" ht="12.75">
      <c r="A180" s="3" t="s">
        <v>191</v>
      </c>
      <c r="B180" t="s">
        <v>694</v>
      </c>
      <c r="C180">
        <v>154.63</v>
      </c>
    </row>
    <row r="181" spans="1:3" ht="12.75">
      <c r="A181" s="3" t="s">
        <v>192</v>
      </c>
      <c r="B181" t="s">
        <v>695</v>
      </c>
      <c r="C181">
        <v>60.96</v>
      </c>
    </row>
    <row r="182" spans="1:3" ht="12.75">
      <c r="A182" s="3" t="s">
        <v>193</v>
      </c>
      <c r="B182" t="s">
        <v>696</v>
      </c>
      <c r="C182">
        <v>36.840000000000003</v>
      </c>
    </row>
    <row r="183" spans="1:3" ht="12.75">
      <c r="A183" s="3" t="s">
        <v>194</v>
      </c>
      <c r="B183" t="s">
        <v>697</v>
      </c>
      <c r="C183">
        <v>460.11</v>
      </c>
    </row>
    <row r="184" spans="1:3" ht="12.75">
      <c r="A184" s="3" t="s">
        <v>195</v>
      </c>
      <c r="B184" t="s">
        <v>698</v>
      </c>
      <c r="C184">
        <v>257.61</v>
      </c>
    </row>
    <row r="185" spans="1:3" ht="12.75">
      <c r="A185" s="3" t="s">
        <v>196</v>
      </c>
      <c r="B185" t="s">
        <v>699</v>
      </c>
      <c r="C185">
        <v>37.64</v>
      </c>
    </row>
    <row r="186" spans="1:3" ht="12.75">
      <c r="A186" s="3" t="s">
        <v>197</v>
      </c>
      <c r="B186" t="s">
        <v>700</v>
      </c>
      <c r="C186">
        <v>168.09</v>
      </c>
    </row>
    <row r="187" spans="1:3" ht="12.75">
      <c r="A187" s="3" t="s">
        <v>198</v>
      </c>
      <c r="B187" t="s">
        <v>701</v>
      </c>
      <c r="C187">
        <v>125.8</v>
      </c>
    </row>
    <row r="188" spans="1:3" ht="12.75">
      <c r="A188" s="3" t="s">
        <v>199</v>
      </c>
      <c r="B188" t="s">
        <v>702</v>
      </c>
      <c r="C188">
        <v>1069.54</v>
      </c>
    </row>
    <row r="189" spans="1:3" ht="12.75">
      <c r="A189" s="3" t="s">
        <v>200</v>
      </c>
      <c r="B189" t="s">
        <v>703</v>
      </c>
      <c r="C189">
        <v>55.5</v>
      </c>
    </row>
    <row r="190" spans="1:3" ht="12.75">
      <c r="A190" s="3" t="s">
        <v>201</v>
      </c>
      <c r="B190" t="s">
        <v>704</v>
      </c>
      <c r="C190">
        <v>27.25</v>
      </c>
    </row>
    <row r="191" spans="1:3" ht="12.75">
      <c r="A191" s="3" t="s">
        <v>202</v>
      </c>
      <c r="B191" t="s">
        <v>705</v>
      </c>
      <c r="C191">
        <v>234.01</v>
      </c>
    </row>
    <row r="192" spans="1:3" ht="12.75">
      <c r="A192" s="3" t="s">
        <v>203</v>
      </c>
      <c r="B192" t="s">
        <v>706</v>
      </c>
      <c r="C192">
        <v>53.09</v>
      </c>
    </row>
    <row r="193" spans="1:3" ht="12.75">
      <c r="A193" s="3" t="s">
        <v>204</v>
      </c>
      <c r="B193" t="s">
        <v>707</v>
      </c>
      <c r="C193">
        <v>28.44</v>
      </c>
    </row>
    <row r="194" spans="1:3" ht="12.75">
      <c r="A194" s="3" t="s">
        <v>205</v>
      </c>
      <c r="B194" t="s">
        <v>708</v>
      </c>
      <c r="C194">
        <v>30.47</v>
      </c>
    </row>
    <row r="195" spans="1:3" ht="12.75">
      <c r="A195" s="3" t="s">
        <v>206</v>
      </c>
      <c r="B195" t="s">
        <v>709</v>
      </c>
      <c r="C195">
        <v>92.11</v>
      </c>
    </row>
    <row r="196" spans="1:3" ht="12.75">
      <c r="A196" s="3" t="s">
        <v>207</v>
      </c>
      <c r="B196" t="s">
        <v>710</v>
      </c>
      <c r="C196">
        <v>154.38</v>
      </c>
    </row>
    <row r="197" spans="1:3" ht="12.75">
      <c r="A197" s="3" t="s">
        <v>208</v>
      </c>
      <c r="B197" t="s">
        <v>711</v>
      </c>
      <c r="C197">
        <v>53.43</v>
      </c>
    </row>
    <row r="198" spans="1:3" ht="12.75">
      <c r="A198" s="3" t="s">
        <v>209</v>
      </c>
      <c r="B198" t="s">
        <v>712</v>
      </c>
      <c r="C198">
        <v>67.55</v>
      </c>
    </row>
    <row r="199" spans="1:3" ht="12.75">
      <c r="A199" s="3" t="s">
        <v>210</v>
      </c>
      <c r="B199" t="s">
        <v>713</v>
      </c>
      <c r="C199">
        <v>247.83</v>
      </c>
    </row>
    <row r="200" spans="1:3" ht="12.75">
      <c r="A200" s="3" t="s">
        <v>211</v>
      </c>
      <c r="B200" t="s">
        <v>714</v>
      </c>
      <c r="C200">
        <v>119.97</v>
      </c>
    </row>
    <row r="201" spans="1:3" ht="12.75">
      <c r="A201" s="3" t="s">
        <v>212</v>
      </c>
      <c r="B201" t="s">
        <v>715</v>
      </c>
      <c r="C201">
        <v>73.709999999999994</v>
      </c>
    </row>
    <row r="202" spans="1:3" ht="12.75">
      <c r="A202" s="3" t="s">
        <v>213</v>
      </c>
      <c r="B202" t="s">
        <v>716</v>
      </c>
      <c r="C202">
        <v>21.27</v>
      </c>
    </row>
    <row r="203" spans="1:3" ht="12.75">
      <c r="A203" s="3" t="s">
        <v>214</v>
      </c>
      <c r="B203" t="s">
        <v>717</v>
      </c>
      <c r="C203">
        <v>75.38</v>
      </c>
    </row>
    <row r="204" spans="1:3" ht="12.75">
      <c r="A204" s="3" t="s">
        <v>215</v>
      </c>
      <c r="B204" t="s">
        <v>718</v>
      </c>
      <c r="C204">
        <v>65.180000000000007</v>
      </c>
    </row>
    <row r="205" spans="1:3" ht="12.75">
      <c r="A205" s="3" t="s">
        <v>216</v>
      </c>
      <c r="B205" t="s">
        <v>719</v>
      </c>
      <c r="C205">
        <v>121.33</v>
      </c>
    </row>
    <row r="206" spans="1:3" ht="12.75">
      <c r="A206" s="3" t="s">
        <v>217</v>
      </c>
      <c r="B206" t="s">
        <v>720</v>
      </c>
      <c r="C206">
        <v>28.2</v>
      </c>
    </row>
    <row r="207" spans="1:3" ht="12.75">
      <c r="A207" s="3" t="s">
        <v>218</v>
      </c>
      <c r="B207" t="s">
        <v>721</v>
      </c>
      <c r="C207">
        <v>28.18</v>
      </c>
    </row>
    <row r="208" spans="1:3" ht="12.75">
      <c r="A208" s="3" t="s">
        <v>219</v>
      </c>
      <c r="B208" t="s">
        <v>722</v>
      </c>
      <c r="C208">
        <v>112.8</v>
      </c>
    </row>
    <row r="209" spans="1:3" ht="12.75">
      <c r="A209" s="3" t="s">
        <v>220</v>
      </c>
      <c r="B209" t="s">
        <v>723</v>
      </c>
      <c r="C209">
        <v>138.22</v>
      </c>
    </row>
    <row r="210" spans="1:3" ht="12.75">
      <c r="A210" s="3" t="s">
        <v>221</v>
      </c>
      <c r="B210" t="s">
        <v>724</v>
      </c>
      <c r="C210">
        <v>136.69</v>
      </c>
    </row>
    <row r="211" spans="1:3" ht="12.75">
      <c r="A211" s="3" t="s">
        <v>222</v>
      </c>
      <c r="B211" t="s">
        <v>725</v>
      </c>
      <c r="C211">
        <v>137.4</v>
      </c>
    </row>
    <row r="212" spans="1:3" ht="12.75">
      <c r="A212" s="3" t="s">
        <v>223</v>
      </c>
      <c r="B212" t="s">
        <v>726</v>
      </c>
      <c r="C212">
        <v>112.63</v>
      </c>
    </row>
    <row r="213" spans="1:3" ht="12.75">
      <c r="A213" s="3" t="s">
        <v>224</v>
      </c>
      <c r="B213" t="s">
        <v>727</v>
      </c>
      <c r="C213">
        <v>121.03</v>
      </c>
    </row>
    <row r="214" spans="1:3" ht="12.75">
      <c r="A214" s="3" t="s">
        <v>225</v>
      </c>
      <c r="B214" t="s">
        <v>728</v>
      </c>
      <c r="C214">
        <v>339.15</v>
      </c>
    </row>
    <row r="215" spans="1:3" ht="12.75">
      <c r="A215" s="3" t="s">
        <v>226</v>
      </c>
      <c r="B215" t="s">
        <v>729</v>
      </c>
      <c r="C215">
        <v>812.3</v>
      </c>
    </row>
    <row r="216" spans="1:3" ht="12.75">
      <c r="A216" s="3" t="s">
        <v>227</v>
      </c>
      <c r="B216" t="s">
        <v>730</v>
      </c>
      <c r="C216">
        <v>38.06</v>
      </c>
    </row>
    <row r="217" spans="1:3" ht="12.75">
      <c r="A217" s="3" t="s">
        <v>228</v>
      </c>
      <c r="B217" t="s">
        <v>731</v>
      </c>
      <c r="C217">
        <v>46.15</v>
      </c>
    </row>
    <row r="218" spans="1:3" ht="12.75">
      <c r="A218" s="3" t="s">
        <v>229</v>
      </c>
      <c r="B218" t="s">
        <v>732</v>
      </c>
      <c r="C218">
        <v>10.88</v>
      </c>
    </row>
    <row r="219" spans="1:3" ht="12.75">
      <c r="A219" s="3" t="s">
        <v>230</v>
      </c>
      <c r="B219" t="s">
        <v>733</v>
      </c>
      <c r="C219">
        <v>252.18</v>
      </c>
    </row>
    <row r="220" spans="1:3" ht="12.75">
      <c r="A220" s="3" t="s">
        <v>231</v>
      </c>
      <c r="B220" t="s">
        <v>734</v>
      </c>
      <c r="C220">
        <v>310.7</v>
      </c>
    </row>
    <row r="221" spans="1:3" ht="12.75">
      <c r="A221" s="3" t="s">
        <v>232</v>
      </c>
      <c r="B221" t="s">
        <v>735</v>
      </c>
      <c r="C221">
        <v>145.41</v>
      </c>
    </row>
    <row r="222" spans="1:3" ht="12.75">
      <c r="A222" s="3" t="s">
        <v>233</v>
      </c>
      <c r="B222" t="s">
        <v>736</v>
      </c>
      <c r="C222">
        <v>78.150000000000006</v>
      </c>
    </row>
    <row r="223" spans="1:3" ht="12.75">
      <c r="A223" s="3" t="s">
        <v>234</v>
      </c>
      <c r="B223" t="s">
        <v>737</v>
      </c>
      <c r="C223">
        <v>238.34</v>
      </c>
    </row>
    <row r="224" spans="1:3" ht="12.75">
      <c r="A224" s="3" t="s">
        <v>235</v>
      </c>
      <c r="B224" t="s">
        <v>738</v>
      </c>
      <c r="C224">
        <v>169.82</v>
      </c>
    </row>
    <row r="225" spans="1:3" ht="12.75">
      <c r="A225" s="3" t="s">
        <v>236</v>
      </c>
      <c r="B225" t="s">
        <v>739</v>
      </c>
      <c r="C225">
        <v>71.739999999999995</v>
      </c>
    </row>
    <row r="226" spans="1:3" ht="12.75">
      <c r="A226" s="3" t="s">
        <v>237</v>
      </c>
      <c r="B226" t="s">
        <v>740</v>
      </c>
      <c r="C226">
        <v>193.41</v>
      </c>
    </row>
    <row r="227" spans="1:3" ht="12.75">
      <c r="A227" s="3" t="s">
        <v>238</v>
      </c>
      <c r="B227" t="s">
        <v>741</v>
      </c>
      <c r="C227">
        <v>15.83</v>
      </c>
    </row>
    <row r="228" spans="1:3" ht="12.75">
      <c r="A228" s="3" t="s">
        <v>239</v>
      </c>
      <c r="B228" t="s">
        <v>742</v>
      </c>
      <c r="C228">
        <v>28.64</v>
      </c>
    </row>
    <row r="229" spans="1:3" ht="12.75">
      <c r="A229" s="3" t="s">
        <v>240</v>
      </c>
      <c r="B229" t="s">
        <v>743</v>
      </c>
      <c r="C229">
        <v>32.72</v>
      </c>
    </row>
    <row r="230" spans="1:3" ht="12.75">
      <c r="A230" s="3" t="s">
        <v>241</v>
      </c>
      <c r="B230" t="s">
        <v>744</v>
      </c>
      <c r="C230">
        <v>69.67</v>
      </c>
    </row>
    <row r="231" spans="1:3" ht="12.75">
      <c r="A231" s="3" t="s">
        <v>242</v>
      </c>
      <c r="B231" t="s">
        <v>745</v>
      </c>
      <c r="C231">
        <v>17.420000000000002</v>
      </c>
    </row>
    <row r="232" spans="1:3" ht="12.75">
      <c r="A232" s="3" t="s">
        <v>243</v>
      </c>
      <c r="B232" t="s">
        <v>746</v>
      </c>
      <c r="C232">
        <v>191.68</v>
      </c>
    </row>
    <row r="233" spans="1:3" ht="12.75">
      <c r="A233" s="3" t="s">
        <v>244</v>
      </c>
      <c r="B233" t="s">
        <v>747</v>
      </c>
      <c r="C233">
        <v>300.52999999999997</v>
      </c>
    </row>
    <row r="234" spans="1:3" ht="12.75">
      <c r="A234" s="3" t="s">
        <v>245</v>
      </c>
      <c r="B234" t="s">
        <v>748</v>
      </c>
      <c r="C234">
        <v>518.26</v>
      </c>
    </row>
    <row r="235" spans="1:3" ht="12.75">
      <c r="A235" s="3" t="s">
        <v>246</v>
      </c>
      <c r="B235" t="s">
        <v>749</v>
      </c>
      <c r="C235">
        <v>52.27</v>
      </c>
    </row>
    <row r="236" spans="1:3" ht="12.75">
      <c r="A236" s="3" t="s">
        <v>247</v>
      </c>
      <c r="B236" t="s">
        <v>750</v>
      </c>
      <c r="C236">
        <v>155.18</v>
      </c>
    </row>
    <row r="237" spans="1:3" ht="12.75">
      <c r="A237" s="3" t="s">
        <v>248</v>
      </c>
      <c r="B237" t="s">
        <v>751</v>
      </c>
      <c r="C237">
        <v>114.39</v>
      </c>
    </row>
    <row r="238" spans="1:3" ht="12.75">
      <c r="A238" s="3" t="s">
        <v>249</v>
      </c>
      <c r="B238" t="s">
        <v>752</v>
      </c>
      <c r="C238">
        <v>478.18</v>
      </c>
    </row>
    <row r="239" spans="1:3" ht="12.75">
      <c r="A239" s="3" t="s">
        <v>250</v>
      </c>
      <c r="B239" t="s">
        <v>753</v>
      </c>
      <c r="C239">
        <v>199.21</v>
      </c>
    </row>
    <row r="240" spans="1:3" ht="12.75">
      <c r="A240" s="3" t="s">
        <v>251</v>
      </c>
      <c r="B240" t="s">
        <v>754</v>
      </c>
      <c r="C240">
        <v>74.73</v>
      </c>
    </row>
    <row r="241" spans="1:3" ht="12.75">
      <c r="A241" s="3" t="s">
        <v>252</v>
      </c>
      <c r="B241" t="s">
        <v>755</v>
      </c>
      <c r="C241">
        <v>98.34</v>
      </c>
    </row>
    <row r="242" spans="1:3" ht="12.75">
      <c r="A242" s="3" t="s">
        <v>253</v>
      </c>
      <c r="B242" t="s">
        <v>756</v>
      </c>
      <c r="C242">
        <v>53.74</v>
      </c>
    </row>
    <row r="243" spans="1:3" ht="12.75">
      <c r="A243" s="3" t="s">
        <v>254</v>
      </c>
      <c r="B243" t="s">
        <v>757</v>
      </c>
      <c r="C243">
        <v>43.96</v>
      </c>
    </row>
    <row r="244" spans="1:3" ht="12.75">
      <c r="A244" s="3" t="s">
        <v>255</v>
      </c>
      <c r="B244" t="s">
        <v>758</v>
      </c>
      <c r="C244">
        <v>564.07000000000005</v>
      </c>
    </row>
    <row r="245" spans="1:3" ht="12.75">
      <c r="A245" s="3" t="s">
        <v>256</v>
      </c>
      <c r="B245" t="s">
        <v>759</v>
      </c>
      <c r="C245">
        <v>33.36</v>
      </c>
    </row>
    <row r="246" spans="1:3" ht="12.75">
      <c r="A246" s="3" t="s">
        <v>257</v>
      </c>
      <c r="B246" t="s">
        <v>760</v>
      </c>
      <c r="C246">
        <v>32.93</v>
      </c>
    </row>
    <row r="247" spans="1:3" ht="12.75">
      <c r="A247" s="3" t="s">
        <v>258</v>
      </c>
      <c r="B247" t="s">
        <v>761</v>
      </c>
      <c r="C247">
        <v>30.62</v>
      </c>
    </row>
    <row r="248" spans="1:3" ht="12.75">
      <c r="A248" s="3" t="s">
        <v>259</v>
      </c>
      <c r="B248" t="s">
        <v>762</v>
      </c>
      <c r="C248">
        <v>212.01</v>
      </c>
    </row>
    <row r="249" spans="1:3" ht="12.75">
      <c r="A249" s="3" t="s">
        <v>260</v>
      </c>
      <c r="B249" t="s">
        <v>763</v>
      </c>
      <c r="C249">
        <v>71.33</v>
      </c>
    </row>
    <row r="250" spans="1:3" ht="12.75">
      <c r="A250" s="3" t="s">
        <v>261</v>
      </c>
      <c r="B250" t="s">
        <v>764</v>
      </c>
      <c r="C250">
        <v>63.21</v>
      </c>
    </row>
    <row r="251" spans="1:3" ht="12.75">
      <c r="A251" s="3" t="s">
        <v>262</v>
      </c>
      <c r="B251" t="s">
        <v>765</v>
      </c>
      <c r="C251">
        <v>318.01</v>
      </c>
    </row>
    <row r="252" spans="1:3" ht="12.75">
      <c r="A252" s="3" t="s">
        <v>263</v>
      </c>
      <c r="B252" t="s">
        <v>766</v>
      </c>
      <c r="C252">
        <v>426.85</v>
      </c>
    </row>
    <row r="253" spans="1:3" ht="12.75">
      <c r="A253" s="3" t="s">
        <v>264</v>
      </c>
      <c r="B253" t="s">
        <v>767</v>
      </c>
      <c r="C253">
        <v>241.85</v>
      </c>
    </row>
    <row r="254" spans="1:3" ht="12.75">
      <c r="A254" s="3" t="s">
        <v>265</v>
      </c>
      <c r="B254" t="s">
        <v>768</v>
      </c>
      <c r="C254">
        <v>13.81</v>
      </c>
    </row>
    <row r="255" spans="1:3" ht="12.75">
      <c r="A255" s="3" t="s">
        <v>266</v>
      </c>
      <c r="B255" t="s">
        <v>769</v>
      </c>
      <c r="C255">
        <v>123.37</v>
      </c>
    </row>
    <row r="256" spans="1:3" ht="12.75">
      <c r="A256" s="3" t="s">
        <v>267</v>
      </c>
      <c r="B256" t="s">
        <v>770</v>
      </c>
      <c r="C256">
        <v>183.05</v>
      </c>
    </row>
    <row r="257" spans="1:3" ht="12.75">
      <c r="A257" s="3" t="s">
        <v>268</v>
      </c>
      <c r="B257" t="s">
        <v>771</v>
      </c>
      <c r="C257">
        <v>52.4</v>
      </c>
    </row>
    <row r="258" spans="1:3" ht="12.75">
      <c r="A258" s="3" t="s">
        <v>269</v>
      </c>
      <c r="B258" t="s">
        <v>772</v>
      </c>
      <c r="C258">
        <v>153.80000000000001</v>
      </c>
    </row>
    <row r="259" spans="1:3" ht="12.75">
      <c r="A259" s="3" t="s">
        <v>270</v>
      </c>
      <c r="B259" t="s">
        <v>773</v>
      </c>
      <c r="C259">
        <v>152.5</v>
      </c>
    </row>
    <row r="260" spans="1:3" ht="12.75">
      <c r="A260" s="3" t="s">
        <v>271</v>
      </c>
      <c r="B260" t="s">
        <v>774</v>
      </c>
      <c r="C260">
        <v>27.33</v>
      </c>
    </row>
    <row r="261" spans="1:3" ht="12.75">
      <c r="A261" s="3" t="s">
        <v>272</v>
      </c>
      <c r="B261" t="s">
        <v>775</v>
      </c>
      <c r="C261">
        <v>153.54</v>
      </c>
    </row>
    <row r="262" spans="1:3" ht="12.75">
      <c r="A262" s="3" t="s">
        <v>273</v>
      </c>
      <c r="B262" t="s">
        <v>776</v>
      </c>
      <c r="C262">
        <v>53.47</v>
      </c>
    </row>
    <row r="263" spans="1:3" ht="12.75">
      <c r="A263" s="3" t="s">
        <v>274</v>
      </c>
      <c r="B263" t="s">
        <v>777</v>
      </c>
      <c r="C263">
        <v>32.619999999999997</v>
      </c>
    </row>
    <row r="264" spans="1:3" ht="12.75">
      <c r="A264" s="3" t="s">
        <v>275</v>
      </c>
      <c r="B264" t="s">
        <v>778</v>
      </c>
      <c r="C264">
        <v>12.04</v>
      </c>
    </row>
    <row r="265" spans="1:3" ht="12.75">
      <c r="A265" s="3" t="s">
        <v>276</v>
      </c>
      <c r="B265" t="s">
        <v>779</v>
      </c>
      <c r="C265">
        <v>136.04</v>
      </c>
    </row>
    <row r="266" spans="1:3" ht="12.75">
      <c r="A266" s="3" t="s">
        <v>277</v>
      </c>
      <c r="B266" t="s">
        <v>780</v>
      </c>
      <c r="C266">
        <v>34.94</v>
      </c>
    </row>
    <row r="267" spans="1:3" ht="12.75">
      <c r="A267" s="3" t="s">
        <v>278</v>
      </c>
      <c r="B267" t="s">
        <v>781</v>
      </c>
      <c r="C267">
        <v>18.71</v>
      </c>
    </row>
    <row r="268" spans="1:3" ht="12.75">
      <c r="A268" s="3" t="s">
        <v>279</v>
      </c>
      <c r="B268" t="s">
        <v>782</v>
      </c>
      <c r="C268">
        <v>555.64</v>
      </c>
    </row>
    <row r="269" spans="1:3" ht="12.75">
      <c r="A269" s="3" t="s">
        <v>280</v>
      </c>
      <c r="B269" t="s">
        <v>783</v>
      </c>
      <c r="C269">
        <v>122.43</v>
      </c>
    </row>
    <row r="270" spans="1:3" ht="12.75">
      <c r="A270" s="3" t="s">
        <v>281</v>
      </c>
      <c r="B270" t="s">
        <v>784</v>
      </c>
      <c r="C270">
        <v>17.350000000000001</v>
      </c>
    </row>
    <row r="271" spans="1:3" ht="12.75">
      <c r="A271" s="3" t="s">
        <v>282</v>
      </c>
      <c r="B271" t="s">
        <v>785</v>
      </c>
      <c r="C271">
        <v>64.16</v>
      </c>
    </row>
    <row r="272" spans="1:3" ht="12.75">
      <c r="A272" s="3" t="s">
        <v>283</v>
      </c>
      <c r="B272" t="s">
        <v>786</v>
      </c>
      <c r="C272">
        <v>58.57</v>
      </c>
    </row>
    <row r="273" spans="1:3" ht="12.75">
      <c r="A273" s="3" t="s">
        <v>284</v>
      </c>
      <c r="B273" t="s">
        <v>787</v>
      </c>
      <c r="C273">
        <v>44.18</v>
      </c>
    </row>
    <row r="274" spans="1:3" ht="12.75">
      <c r="A274" s="3" t="s">
        <v>285</v>
      </c>
      <c r="B274" t="s">
        <v>788</v>
      </c>
      <c r="C274">
        <v>20.25</v>
      </c>
    </row>
    <row r="275" spans="1:3" ht="12.75">
      <c r="A275" s="3" t="s">
        <v>286</v>
      </c>
      <c r="B275" t="s">
        <v>789</v>
      </c>
      <c r="C275">
        <v>69.3</v>
      </c>
    </row>
    <row r="276" spans="1:3" ht="12.75">
      <c r="A276" s="3" t="s">
        <v>287</v>
      </c>
      <c r="B276" t="s">
        <v>790</v>
      </c>
      <c r="C276">
        <v>106.76</v>
      </c>
    </row>
    <row r="277" spans="1:3" ht="12.75">
      <c r="A277" s="3" t="s">
        <v>288</v>
      </c>
      <c r="B277" t="s">
        <v>791</v>
      </c>
      <c r="C277">
        <v>127.63</v>
      </c>
    </row>
    <row r="278" spans="1:3" ht="12.75">
      <c r="A278" s="3" t="s">
        <v>289</v>
      </c>
      <c r="B278" t="s">
        <v>792</v>
      </c>
      <c r="C278">
        <v>212.72</v>
      </c>
    </row>
    <row r="279" spans="1:3" ht="12.75">
      <c r="A279" s="3" t="s">
        <v>290</v>
      </c>
      <c r="B279" t="s">
        <v>793</v>
      </c>
      <c r="C279">
        <v>191.01</v>
      </c>
    </row>
    <row r="280" spans="1:3" ht="12.75">
      <c r="A280" s="3" t="s">
        <v>291</v>
      </c>
      <c r="B280" t="s">
        <v>794</v>
      </c>
      <c r="C280">
        <v>414.22</v>
      </c>
    </row>
    <row r="281" spans="1:3" ht="12.75">
      <c r="A281" s="3" t="s">
        <v>292</v>
      </c>
      <c r="B281" t="s">
        <v>795</v>
      </c>
      <c r="C281">
        <v>45.84</v>
      </c>
    </row>
    <row r="282" spans="1:3" ht="12.75">
      <c r="A282" s="3" t="s">
        <v>293</v>
      </c>
      <c r="B282" t="s">
        <v>796</v>
      </c>
      <c r="C282">
        <v>601.1</v>
      </c>
    </row>
    <row r="283" spans="1:3" ht="12.75">
      <c r="A283" s="3" t="s">
        <v>294</v>
      </c>
      <c r="B283" t="s">
        <v>797</v>
      </c>
      <c r="C283">
        <v>452.01</v>
      </c>
    </row>
    <row r="284" spans="1:3" ht="12.75">
      <c r="A284" s="3" t="s">
        <v>295</v>
      </c>
      <c r="B284" t="s">
        <v>798</v>
      </c>
      <c r="C284">
        <v>49.75</v>
      </c>
    </row>
    <row r="285" spans="1:3" ht="12.75">
      <c r="A285" s="3" t="s">
        <v>296</v>
      </c>
      <c r="B285" t="s">
        <v>799</v>
      </c>
      <c r="C285">
        <v>199.07</v>
      </c>
    </row>
    <row r="286" spans="1:3" ht="12.75">
      <c r="A286" s="3" t="s">
        <v>297</v>
      </c>
      <c r="B286" t="s">
        <v>800</v>
      </c>
      <c r="C286">
        <v>717.5</v>
      </c>
    </row>
    <row r="287" spans="1:3" ht="12.75">
      <c r="A287" s="3" t="s">
        <v>298</v>
      </c>
      <c r="B287" t="s">
        <v>801</v>
      </c>
      <c r="C287">
        <v>431.76</v>
      </c>
    </row>
    <row r="288" spans="1:3" ht="12.75">
      <c r="A288" s="3" t="s">
        <v>299</v>
      </c>
      <c r="B288" t="s">
        <v>802</v>
      </c>
      <c r="C288">
        <v>24.87</v>
      </c>
    </row>
    <row r="289" spans="1:3" ht="12.75">
      <c r="A289" s="3" t="s">
        <v>300</v>
      </c>
      <c r="B289" t="s">
        <v>803</v>
      </c>
      <c r="C289">
        <v>48.92</v>
      </c>
    </row>
    <row r="290" spans="1:3" ht="12.75">
      <c r="A290" s="3" t="s">
        <v>301</v>
      </c>
      <c r="B290" t="s">
        <v>804</v>
      </c>
      <c r="C290">
        <v>99.21</v>
      </c>
    </row>
    <row r="291" spans="1:3" ht="12.75">
      <c r="A291" s="3" t="s">
        <v>302</v>
      </c>
      <c r="B291" t="s">
        <v>805</v>
      </c>
      <c r="C291">
        <v>94.13</v>
      </c>
    </row>
    <row r="292" spans="1:3" ht="12.75">
      <c r="A292" s="3" t="s">
        <v>303</v>
      </c>
      <c r="B292" t="s">
        <v>806</v>
      </c>
      <c r="C292">
        <v>87.63</v>
      </c>
    </row>
    <row r="293" spans="1:3" ht="12.75">
      <c r="A293" s="3" t="s">
        <v>304</v>
      </c>
      <c r="B293" t="s">
        <v>807</v>
      </c>
      <c r="C293">
        <v>412.5</v>
      </c>
    </row>
    <row r="294" spans="1:3" ht="12.75">
      <c r="A294" s="3" t="s">
        <v>305</v>
      </c>
      <c r="B294" t="s">
        <v>808</v>
      </c>
      <c r="C294">
        <v>122.67</v>
      </c>
    </row>
    <row r="295" spans="1:3" ht="12.75">
      <c r="A295" s="3" t="s">
        <v>306</v>
      </c>
      <c r="B295" t="s">
        <v>809</v>
      </c>
      <c r="C295">
        <v>208.93</v>
      </c>
    </row>
    <row r="296" spans="1:3" ht="12.75">
      <c r="A296" s="3" t="s">
        <v>307</v>
      </c>
      <c r="B296" t="s">
        <v>810</v>
      </c>
      <c r="C296">
        <v>59.19</v>
      </c>
    </row>
    <row r="297" spans="1:3" ht="12.75">
      <c r="A297" s="3" t="s">
        <v>308</v>
      </c>
      <c r="B297" t="s">
        <v>811</v>
      </c>
      <c r="C297">
        <v>282.54000000000002</v>
      </c>
    </row>
    <row r="298" spans="1:3" ht="12.75">
      <c r="A298" s="3" t="s">
        <v>309</v>
      </c>
      <c r="B298" t="s">
        <v>812</v>
      </c>
      <c r="C298">
        <v>83.26</v>
      </c>
    </row>
    <row r="299" spans="1:3" ht="12.75">
      <c r="A299" s="3" t="s">
        <v>310</v>
      </c>
      <c r="B299" t="s">
        <v>813</v>
      </c>
      <c r="C299">
        <v>461.37</v>
      </c>
    </row>
    <row r="300" spans="1:3" ht="12.75">
      <c r="A300" s="3" t="s">
        <v>311</v>
      </c>
      <c r="B300" t="s">
        <v>814</v>
      </c>
      <c r="C300">
        <v>362.38</v>
      </c>
    </row>
    <row r="301" spans="1:3" ht="12.75">
      <c r="A301" s="3" t="s">
        <v>312</v>
      </c>
      <c r="B301" t="s">
        <v>815</v>
      </c>
      <c r="C301">
        <v>71.62</v>
      </c>
    </row>
    <row r="302" spans="1:3" ht="12.75">
      <c r="A302" s="3" t="s">
        <v>313</v>
      </c>
      <c r="B302" t="s">
        <v>816</v>
      </c>
      <c r="C302">
        <v>78.97</v>
      </c>
    </row>
    <row r="303" spans="1:3" ht="12.75">
      <c r="A303" s="3" t="s">
        <v>314</v>
      </c>
      <c r="B303" t="s">
        <v>817</v>
      </c>
      <c r="C303">
        <v>63.55</v>
      </c>
    </row>
    <row r="304" spans="1:3" ht="12.75">
      <c r="A304" s="3" t="s">
        <v>315</v>
      </c>
      <c r="B304" t="s">
        <v>818</v>
      </c>
      <c r="C304">
        <v>338.23</v>
      </c>
    </row>
    <row r="305" spans="1:3" ht="12.75">
      <c r="A305" s="3" t="s">
        <v>316</v>
      </c>
      <c r="B305" t="s">
        <v>819</v>
      </c>
      <c r="C305">
        <v>40.22</v>
      </c>
    </row>
    <row r="306" spans="1:3" ht="12.75">
      <c r="A306" s="3" t="s">
        <v>317</v>
      </c>
      <c r="B306" t="s">
        <v>820</v>
      </c>
      <c r="C306">
        <v>84.02</v>
      </c>
    </row>
    <row r="307" spans="1:3" ht="12.75">
      <c r="A307" s="3" t="s">
        <v>318</v>
      </c>
      <c r="B307" t="s">
        <v>821</v>
      </c>
      <c r="C307">
        <v>66.44</v>
      </c>
    </row>
    <row r="308" spans="1:3" ht="12.75">
      <c r="A308" s="3" t="s">
        <v>319</v>
      </c>
      <c r="B308" t="s">
        <v>822</v>
      </c>
      <c r="C308">
        <v>231.4</v>
      </c>
    </row>
    <row r="309" spans="1:3" ht="12.75">
      <c r="A309" s="3" t="s">
        <v>320</v>
      </c>
      <c r="B309" t="s">
        <v>823</v>
      </c>
      <c r="C309">
        <v>462</v>
      </c>
    </row>
    <row r="310" spans="1:3" ht="12.75">
      <c r="A310" s="3" t="s">
        <v>321</v>
      </c>
      <c r="B310" t="s">
        <v>824</v>
      </c>
      <c r="C310">
        <v>200.93</v>
      </c>
    </row>
    <row r="311" spans="1:3" ht="12.75">
      <c r="A311" s="3" t="s">
        <v>322</v>
      </c>
      <c r="B311" t="s">
        <v>825</v>
      </c>
      <c r="C311">
        <v>95.95</v>
      </c>
    </row>
    <row r="312" spans="1:3" ht="12.75">
      <c r="A312" s="3" t="s">
        <v>323</v>
      </c>
      <c r="B312" t="s">
        <v>826</v>
      </c>
      <c r="C312">
        <v>55.17</v>
      </c>
    </row>
    <row r="313" spans="1:3" ht="12.75">
      <c r="A313" s="3" t="s">
        <v>324</v>
      </c>
      <c r="B313" t="s">
        <v>827</v>
      </c>
      <c r="C313">
        <v>41.47</v>
      </c>
    </row>
    <row r="314" spans="1:3" ht="12.75">
      <c r="A314" s="3" t="s">
        <v>325</v>
      </c>
      <c r="B314" t="s">
        <v>828</v>
      </c>
      <c r="C314">
        <v>367.62</v>
      </c>
    </row>
    <row r="315" spans="1:3" ht="12.75">
      <c r="A315" s="3" t="s">
        <v>326</v>
      </c>
      <c r="B315" t="s">
        <v>829</v>
      </c>
      <c r="C315">
        <v>36.409999999999997</v>
      </c>
    </row>
    <row r="316" spans="1:3" ht="12.75">
      <c r="A316" s="3" t="s">
        <v>327</v>
      </c>
      <c r="B316" t="s">
        <v>830</v>
      </c>
      <c r="C316">
        <v>149.5</v>
      </c>
    </row>
    <row r="317" spans="1:3" ht="12.75">
      <c r="A317" s="3" t="s">
        <v>328</v>
      </c>
      <c r="B317" t="s">
        <v>831</v>
      </c>
      <c r="C317">
        <v>549.44000000000005</v>
      </c>
    </row>
    <row r="318" spans="1:3" ht="12.75">
      <c r="A318" s="3" t="s">
        <v>329</v>
      </c>
      <c r="B318" t="s">
        <v>832</v>
      </c>
      <c r="C318">
        <v>101.87</v>
      </c>
    </row>
    <row r="319" spans="1:3" ht="12.75">
      <c r="A319" s="3" t="s">
        <v>330</v>
      </c>
      <c r="B319" t="s">
        <v>833</v>
      </c>
      <c r="C319">
        <v>78.52</v>
      </c>
    </row>
    <row r="320" spans="1:3" ht="12.75">
      <c r="A320" s="3" t="s">
        <v>331</v>
      </c>
      <c r="B320" t="s">
        <v>834</v>
      </c>
      <c r="C320">
        <v>25.35</v>
      </c>
    </row>
    <row r="321" spans="1:3" ht="12.75">
      <c r="A321" s="3" t="s">
        <v>332</v>
      </c>
      <c r="B321" t="s">
        <v>835</v>
      </c>
      <c r="C321">
        <v>78.650000000000006</v>
      </c>
    </row>
    <row r="322" spans="1:3" ht="12.75">
      <c r="A322" s="3" t="s">
        <v>333</v>
      </c>
      <c r="B322" t="s">
        <v>836</v>
      </c>
      <c r="C322">
        <v>528.35</v>
      </c>
    </row>
    <row r="323" spans="1:3" ht="12.75">
      <c r="A323" s="3" t="s">
        <v>334</v>
      </c>
      <c r="B323" t="s">
        <v>837</v>
      </c>
      <c r="C323">
        <v>377.43</v>
      </c>
    </row>
    <row r="324" spans="1:3" ht="12.75">
      <c r="A324" s="3" t="s">
        <v>335</v>
      </c>
      <c r="B324" t="s">
        <v>838</v>
      </c>
      <c r="C324">
        <v>320.83999999999997</v>
      </c>
    </row>
    <row r="325" spans="1:3" ht="12.75">
      <c r="A325" s="3" t="s">
        <v>336</v>
      </c>
      <c r="B325" t="s">
        <v>839</v>
      </c>
      <c r="C325">
        <v>125.62</v>
      </c>
    </row>
    <row r="326" spans="1:3" ht="12.75">
      <c r="A326" s="3" t="s">
        <v>337</v>
      </c>
      <c r="B326" t="s">
        <v>840</v>
      </c>
      <c r="C326">
        <v>32.03</v>
      </c>
    </row>
    <row r="327" spans="1:3" ht="12.75">
      <c r="A327" s="3" t="s">
        <v>338</v>
      </c>
      <c r="B327" t="s">
        <v>841</v>
      </c>
      <c r="C327">
        <v>1093.51</v>
      </c>
    </row>
    <row r="328" spans="1:3" ht="12.75">
      <c r="A328" s="3" t="s">
        <v>339</v>
      </c>
      <c r="B328" t="s">
        <v>842</v>
      </c>
      <c r="C328">
        <v>76.87</v>
      </c>
    </row>
    <row r="329" spans="1:3" ht="12.75">
      <c r="A329" s="3" t="s">
        <v>340</v>
      </c>
      <c r="B329" t="s">
        <v>843</v>
      </c>
      <c r="C329">
        <v>14.37</v>
      </c>
    </row>
    <row r="330" spans="1:3" ht="12.75">
      <c r="A330" s="3" t="s">
        <v>341</v>
      </c>
      <c r="B330" t="s">
        <v>844</v>
      </c>
      <c r="C330">
        <v>55.3</v>
      </c>
    </row>
    <row r="331" spans="1:3" ht="12.75">
      <c r="A331" s="3" t="s">
        <v>342</v>
      </c>
      <c r="B331" t="s">
        <v>845</v>
      </c>
      <c r="C331">
        <v>235.21</v>
      </c>
    </row>
    <row r="332" spans="1:3" ht="12.75">
      <c r="A332" s="3" t="s">
        <v>343</v>
      </c>
      <c r="B332" t="s">
        <v>846</v>
      </c>
      <c r="C332">
        <v>57.55</v>
      </c>
    </row>
    <row r="333" spans="1:3" ht="12.75">
      <c r="A333" s="3" t="s">
        <v>344</v>
      </c>
      <c r="B333" t="s">
        <v>847</v>
      </c>
      <c r="C333">
        <v>37.590000000000003</v>
      </c>
    </row>
    <row r="334" spans="1:3" ht="12.75">
      <c r="A334" s="3" t="s">
        <v>345</v>
      </c>
      <c r="B334" t="s">
        <v>848</v>
      </c>
      <c r="C334">
        <v>479.56</v>
      </c>
    </row>
    <row r="335" spans="1:3" ht="12.75">
      <c r="A335" s="3" t="s">
        <v>346</v>
      </c>
      <c r="B335" t="s">
        <v>849</v>
      </c>
      <c r="C335">
        <v>26.1</v>
      </c>
    </row>
    <row r="336" spans="1:3" ht="12.75">
      <c r="A336" s="3" t="s">
        <v>347</v>
      </c>
      <c r="B336" t="s">
        <v>850</v>
      </c>
      <c r="C336">
        <v>107.64</v>
      </c>
    </row>
    <row r="337" spans="1:3" ht="12.75">
      <c r="A337" s="3" t="s">
        <v>348</v>
      </c>
      <c r="B337" t="s">
        <v>851</v>
      </c>
      <c r="C337">
        <v>471.52</v>
      </c>
    </row>
    <row r="338" spans="1:3" ht="12.75">
      <c r="A338" s="3" t="s">
        <v>349</v>
      </c>
      <c r="B338" t="s">
        <v>852</v>
      </c>
      <c r="C338">
        <v>673.9</v>
      </c>
    </row>
    <row r="339" spans="1:3" ht="12.75">
      <c r="A339" s="3" t="s">
        <v>350</v>
      </c>
      <c r="B339" t="s">
        <v>853</v>
      </c>
      <c r="C339">
        <v>45.89</v>
      </c>
    </row>
    <row r="340" spans="1:3" ht="12.75">
      <c r="A340" s="3" t="s">
        <v>351</v>
      </c>
      <c r="B340" t="s">
        <v>854</v>
      </c>
      <c r="C340">
        <v>215.86</v>
      </c>
    </row>
    <row r="341" spans="1:3" ht="12.75">
      <c r="A341" s="3" t="s">
        <v>352</v>
      </c>
      <c r="B341" t="s">
        <v>855</v>
      </c>
      <c r="C341">
        <v>78.34</v>
      </c>
    </row>
    <row r="342" spans="1:3" ht="12.75">
      <c r="A342" s="3" t="s">
        <v>353</v>
      </c>
      <c r="B342" t="s">
        <v>856</v>
      </c>
      <c r="C342">
        <v>76.36</v>
      </c>
    </row>
    <row r="343" spans="1:3" ht="12.75">
      <c r="A343" s="3" t="s">
        <v>354</v>
      </c>
      <c r="B343" t="s">
        <v>857</v>
      </c>
      <c r="C343">
        <v>157.16</v>
      </c>
    </row>
    <row r="344" spans="1:3" ht="12.75">
      <c r="A344" s="3" t="s">
        <v>355</v>
      </c>
      <c r="B344" t="s">
        <v>858</v>
      </c>
      <c r="C344">
        <v>477.76</v>
      </c>
    </row>
    <row r="345" spans="1:3" ht="12.75">
      <c r="A345" s="3" t="s">
        <v>356</v>
      </c>
      <c r="B345" t="s">
        <v>859</v>
      </c>
      <c r="C345">
        <v>6195.06</v>
      </c>
    </row>
    <row r="346" spans="1:3" ht="12.75">
      <c r="A346" s="3" t="s">
        <v>357</v>
      </c>
      <c r="B346" t="s">
        <v>860</v>
      </c>
      <c r="C346">
        <v>22.94</v>
      </c>
    </row>
    <row r="347" spans="1:3" ht="12.75">
      <c r="A347" s="3" t="s">
        <v>358</v>
      </c>
      <c r="B347" t="s">
        <v>861</v>
      </c>
      <c r="C347">
        <v>22.01</v>
      </c>
    </row>
    <row r="348" spans="1:3" ht="12.75">
      <c r="A348" s="3" t="s">
        <v>359</v>
      </c>
      <c r="B348" t="s">
        <v>862</v>
      </c>
      <c r="C348">
        <v>200.12</v>
      </c>
    </row>
    <row r="349" spans="1:3" ht="12.75">
      <c r="A349" s="3" t="s">
        <v>360</v>
      </c>
      <c r="B349" t="s">
        <v>863</v>
      </c>
      <c r="C349">
        <v>53.91</v>
      </c>
    </row>
    <row r="350" spans="1:3" ht="12.75">
      <c r="A350" s="3" t="s">
        <v>361</v>
      </c>
      <c r="B350" t="s">
        <v>864</v>
      </c>
      <c r="C350">
        <v>404.32</v>
      </c>
    </row>
    <row r="351" spans="1:3" ht="12.75">
      <c r="A351" s="3" t="s">
        <v>362</v>
      </c>
      <c r="B351" t="s">
        <v>865</v>
      </c>
      <c r="C351">
        <v>67.319999999999993</v>
      </c>
    </row>
    <row r="352" spans="1:3" ht="12.75">
      <c r="A352" s="3" t="s">
        <v>363</v>
      </c>
      <c r="B352" t="s">
        <v>866</v>
      </c>
      <c r="C352">
        <v>80.09</v>
      </c>
    </row>
    <row r="353" spans="1:3" ht="12.75">
      <c r="A353" s="3" t="s">
        <v>364</v>
      </c>
      <c r="B353" t="s">
        <v>867</v>
      </c>
      <c r="C353">
        <v>69.28</v>
      </c>
    </row>
    <row r="354" spans="1:3" ht="12.75">
      <c r="A354" s="3" t="s">
        <v>365</v>
      </c>
      <c r="B354" t="s">
        <v>868</v>
      </c>
      <c r="C354">
        <v>116.25</v>
      </c>
    </row>
    <row r="355" spans="1:3" ht="12.75">
      <c r="A355" s="3" t="s">
        <v>366</v>
      </c>
      <c r="B355" t="s">
        <v>869</v>
      </c>
      <c r="C355">
        <v>987.16</v>
      </c>
    </row>
    <row r="356" spans="1:3" ht="12.75">
      <c r="A356" s="3" t="s">
        <v>367</v>
      </c>
      <c r="B356" t="s">
        <v>870</v>
      </c>
      <c r="C356">
        <v>85.04</v>
      </c>
    </row>
    <row r="357" spans="1:3" ht="12.75">
      <c r="A357" s="3" t="s">
        <v>368</v>
      </c>
      <c r="B357" t="s">
        <v>871</v>
      </c>
      <c r="C357">
        <v>60.16</v>
      </c>
    </row>
    <row r="358" spans="1:3" ht="12.75">
      <c r="A358" s="3" t="s">
        <v>369</v>
      </c>
      <c r="B358" t="s">
        <v>872</v>
      </c>
      <c r="C358">
        <v>266.08</v>
      </c>
    </row>
    <row r="359" spans="1:3" ht="12.75">
      <c r="A359" s="3" t="s">
        <v>370</v>
      </c>
      <c r="B359" t="s">
        <v>873</v>
      </c>
      <c r="C359">
        <v>14.21</v>
      </c>
    </row>
    <row r="360" spans="1:3" ht="12.75">
      <c r="A360" s="3" t="s">
        <v>371</v>
      </c>
      <c r="B360" t="s">
        <v>874</v>
      </c>
      <c r="C360">
        <v>178.49</v>
      </c>
    </row>
    <row r="361" spans="1:3" ht="12.75">
      <c r="A361" s="3" t="s">
        <v>372</v>
      </c>
      <c r="B361" t="s">
        <v>875</v>
      </c>
      <c r="C361">
        <v>118.5</v>
      </c>
    </row>
    <row r="362" spans="1:3" ht="12.75">
      <c r="A362" s="3" t="s">
        <v>373</v>
      </c>
      <c r="B362" t="s">
        <v>876</v>
      </c>
      <c r="C362">
        <v>92</v>
      </c>
    </row>
    <row r="363" spans="1:3" ht="12.75">
      <c r="A363" s="3" t="s">
        <v>374</v>
      </c>
      <c r="B363" t="s">
        <v>877</v>
      </c>
      <c r="C363">
        <v>18.02</v>
      </c>
    </row>
    <row r="364" spans="1:3" ht="12.75">
      <c r="A364" s="3" t="s">
        <v>375</v>
      </c>
      <c r="B364" t="s">
        <v>878</v>
      </c>
      <c r="C364">
        <v>16.649999999999999</v>
      </c>
    </row>
    <row r="365" spans="1:3" ht="12.75">
      <c r="A365" s="3" t="s">
        <v>376</v>
      </c>
      <c r="B365" t="s">
        <v>879</v>
      </c>
      <c r="C365">
        <v>65.09</v>
      </c>
    </row>
    <row r="366" spans="1:3" ht="12.75">
      <c r="A366" s="3" t="s">
        <v>377</v>
      </c>
      <c r="B366" t="s">
        <v>880</v>
      </c>
      <c r="C366">
        <v>169.37</v>
      </c>
    </row>
    <row r="367" spans="1:3" ht="12.75">
      <c r="A367" s="3" t="s">
        <v>378</v>
      </c>
      <c r="B367" t="s">
        <v>881</v>
      </c>
      <c r="C367">
        <v>30.5</v>
      </c>
    </row>
    <row r="368" spans="1:3" ht="12.75">
      <c r="A368" s="3" t="s">
        <v>379</v>
      </c>
      <c r="B368" t="s">
        <v>882</v>
      </c>
      <c r="C368">
        <v>72.650000000000006</v>
      </c>
    </row>
    <row r="369" spans="1:3" ht="12.75">
      <c r="A369" s="3" t="s">
        <v>380</v>
      </c>
      <c r="B369" t="s">
        <v>883</v>
      </c>
      <c r="C369">
        <v>151.38</v>
      </c>
    </row>
    <row r="370" spans="1:3" ht="12.75">
      <c r="A370" s="3" t="s">
        <v>381</v>
      </c>
      <c r="B370" t="s">
        <v>884</v>
      </c>
      <c r="C370">
        <v>163.72</v>
      </c>
    </row>
    <row r="371" spans="1:3" ht="12.75">
      <c r="A371" s="3" t="s">
        <v>382</v>
      </c>
      <c r="B371" t="s">
        <v>885</v>
      </c>
      <c r="C371">
        <v>433.67</v>
      </c>
    </row>
    <row r="372" spans="1:3" ht="12.75">
      <c r="A372" s="3" t="s">
        <v>383</v>
      </c>
      <c r="B372" t="s">
        <v>886</v>
      </c>
      <c r="C372">
        <v>88.1</v>
      </c>
    </row>
    <row r="373" spans="1:3" ht="12.75">
      <c r="A373" s="3" t="s">
        <v>384</v>
      </c>
      <c r="B373" t="s">
        <v>887</v>
      </c>
      <c r="C373">
        <v>155.13</v>
      </c>
    </row>
    <row r="374" spans="1:3" ht="12.75">
      <c r="A374" s="3" t="s">
        <v>385</v>
      </c>
      <c r="B374" t="s">
        <v>888</v>
      </c>
      <c r="C374">
        <v>112</v>
      </c>
    </row>
    <row r="375" spans="1:3" ht="12.75">
      <c r="A375" s="3" t="s">
        <v>386</v>
      </c>
      <c r="B375" t="s">
        <v>889</v>
      </c>
      <c r="C375">
        <v>94.34</v>
      </c>
    </row>
    <row r="376" spans="1:3" ht="12.75">
      <c r="A376" s="3" t="s">
        <v>387</v>
      </c>
      <c r="B376" t="s">
        <v>890</v>
      </c>
      <c r="C376">
        <v>128.69999999999999</v>
      </c>
    </row>
    <row r="377" spans="1:3" ht="12.75">
      <c r="A377" s="3" t="s">
        <v>388</v>
      </c>
      <c r="B377" t="s">
        <v>891</v>
      </c>
      <c r="C377">
        <v>63.22</v>
      </c>
    </row>
    <row r="378" spans="1:3" ht="12.75">
      <c r="A378" s="3" t="s">
        <v>389</v>
      </c>
      <c r="B378" t="s">
        <v>892</v>
      </c>
      <c r="C378">
        <v>73.260000000000005</v>
      </c>
    </row>
    <row r="379" spans="1:3" ht="12.75">
      <c r="A379" s="3" t="s">
        <v>390</v>
      </c>
      <c r="B379" t="s">
        <v>893</v>
      </c>
      <c r="C379">
        <v>187.95</v>
      </c>
    </row>
    <row r="380" spans="1:3" ht="12.75">
      <c r="A380" s="3" t="s">
        <v>391</v>
      </c>
      <c r="B380" t="s">
        <v>894</v>
      </c>
      <c r="C380">
        <v>354.75</v>
      </c>
    </row>
    <row r="381" spans="1:3" ht="12.75">
      <c r="A381" s="3" t="s">
        <v>392</v>
      </c>
      <c r="B381" t="s">
        <v>895</v>
      </c>
      <c r="C381">
        <v>136.44999999999999</v>
      </c>
    </row>
    <row r="382" spans="1:3" ht="12.75">
      <c r="A382" s="3" t="s">
        <v>393</v>
      </c>
      <c r="B382" t="s">
        <v>896</v>
      </c>
      <c r="C382">
        <v>26.31</v>
      </c>
    </row>
    <row r="383" spans="1:3" ht="12.75">
      <c r="A383" s="3" t="s">
        <v>394</v>
      </c>
      <c r="B383" t="s">
        <v>897</v>
      </c>
      <c r="C383">
        <v>95.74</v>
      </c>
    </row>
    <row r="384" spans="1:3" ht="12.75">
      <c r="A384" s="3" t="s">
        <v>395</v>
      </c>
      <c r="B384" t="s">
        <v>898</v>
      </c>
      <c r="C384">
        <v>255.03</v>
      </c>
    </row>
    <row r="385" spans="1:3" ht="12.75">
      <c r="A385" s="3" t="s">
        <v>396</v>
      </c>
      <c r="B385" t="s">
        <v>899</v>
      </c>
      <c r="C385">
        <v>118.63</v>
      </c>
    </row>
    <row r="386" spans="1:3" ht="12.75">
      <c r="A386" s="3" t="s">
        <v>397</v>
      </c>
      <c r="B386" t="s">
        <v>900</v>
      </c>
      <c r="C386">
        <v>154.91999999999999</v>
      </c>
    </row>
    <row r="387" spans="1:3" ht="12.75">
      <c r="A387" s="3" t="s">
        <v>398</v>
      </c>
      <c r="B387" t="s">
        <v>901</v>
      </c>
      <c r="C387">
        <v>182.58</v>
      </c>
    </row>
    <row r="388" spans="1:3" ht="12.75">
      <c r="A388" s="3" t="s">
        <v>399</v>
      </c>
      <c r="B388" t="s">
        <v>902</v>
      </c>
      <c r="C388">
        <v>237.69</v>
      </c>
    </row>
    <row r="389" spans="1:3" ht="12.75">
      <c r="A389" s="3" t="s">
        <v>400</v>
      </c>
      <c r="B389" t="s">
        <v>903</v>
      </c>
      <c r="C389">
        <v>55.76</v>
      </c>
    </row>
    <row r="390" spans="1:3" ht="12.75">
      <c r="A390" s="3" t="s">
        <v>401</v>
      </c>
      <c r="B390" t="s">
        <v>904</v>
      </c>
      <c r="C390">
        <v>127.75</v>
      </c>
    </row>
    <row r="391" spans="1:3" ht="12.75">
      <c r="A391" s="3" t="s">
        <v>402</v>
      </c>
      <c r="B391" t="s">
        <v>905</v>
      </c>
      <c r="C391">
        <v>93.39</v>
      </c>
    </row>
    <row r="392" spans="1:3" ht="12.75">
      <c r="A392" s="3" t="s">
        <v>403</v>
      </c>
      <c r="B392" t="s">
        <v>906</v>
      </c>
      <c r="C392">
        <v>104.45</v>
      </c>
    </row>
    <row r="393" spans="1:3" ht="12.75">
      <c r="A393" s="3" t="s">
        <v>404</v>
      </c>
      <c r="B393" t="s">
        <v>907</v>
      </c>
      <c r="C393">
        <v>61.32</v>
      </c>
    </row>
    <row r="394" spans="1:3" ht="12.75">
      <c r="A394" s="3" t="s">
        <v>405</v>
      </c>
      <c r="B394" t="s">
        <v>908</v>
      </c>
      <c r="C394">
        <v>798.3</v>
      </c>
    </row>
    <row r="395" spans="1:3" ht="12.75">
      <c r="A395" s="3" t="s">
        <v>406</v>
      </c>
      <c r="B395" t="s">
        <v>909</v>
      </c>
      <c r="C395">
        <v>16.05</v>
      </c>
    </row>
    <row r="396" spans="1:3" ht="12.75">
      <c r="A396" s="3" t="s">
        <v>407</v>
      </c>
      <c r="B396" t="s">
        <v>910</v>
      </c>
      <c r="C396">
        <v>81.260000000000005</v>
      </c>
    </row>
    <row r="397" spans="1:3" ht="12.75">
      <c r="A397" s="3" t="s">
        <v>408</v>
      </c>
      <c r="B397" t="s">
        <v>911</v>
      </c>
      <c r="C397">
        <v>105.47</v>
      </c>
    </row>
    <row r="398" spans="1:3" ht="12.75">
      <c r="A398" s="3" t="s">
        <v>409</v>
      </c>
      <c r="B398" t="s">
        <v>912</v>
      </c>
      <c r="C398">
        <v>124.54</v>
      </c>
    </row>
    <row r="399" spans="1:3" ht="12.75">
      <c r="A399" s="3" t="s">
        <v>410</v>
      </c>
      <c r="B399" t="s">
        <v>913</v>
      </c>
      <c r="C399">
        <v>153.88</v>
      </c>
    </row>
    <row r="400" spans="1:3" ht="12.75">
      <c r="A400" s="3" t="s">
        <v>411</v>
      </c>
      <c r="B400" t="s">
        <v>914</v>
      </c>
      <c r="C400">
        <v>273</v>
      </c>
    </row>
    <row r="401" spans="1:3" ht="12.75">
      <c r="A401" s="3" t="s">
        <v>412</v>
      </c>
      <c r="B401" t="s">
        <v>915</v>
      </c>
      <c r="C401">
        <v>40.130000000000003</v>
      </c>
    </row>
    <row r="402" spans="1:3" ht="12.75">
      <c r="A402" s="3" t="s">
        <v>413</v>
      </c>
      <c r="B402" t="s">
        <v>916</v>
      </c>
      <c r="C402">
        <v>525.59</v>
      </c>
    </row>
    <row r="403" spans="1:3" ht="12.75">
      <c r="A403" s="3" t="s">
        <v>414</v>
      </c>
      <c r="B403" t="s">
        <v>917</v>
      </c>
      <c r="C403">
        <v>131.09</v>
      </c>
    </row>
    <row r="404" spans="1:3" ht="12.75">
      <c r="A404" s="3" t="s">
        <v>415</v>
      </c>
      <c r="B404" t="s">
        <v>918</v>
      </c>
      <c r="C404">
        <v>160.4</v>
      </c>
    </row>
    <row r="405" spans="1:3" ht="12.75">
      <c r="A405" s="3" t="s">
        <v>416</v>
      </c>
      <c r="B405" t="s">
        <v>919</v>
      </c>
      <c r="C405">
        <v>79.98</v>
      </c>
    </row>
    <row r="406" spans="1:3" ht="12.75">
      <c r="A406" s="3" t="s">
        <v>417</v>
      </c>
      <c r="B406" t="s">
        <v>920</v>
      </c>
      <c r="C406">
        <v>90.09</v>
      </c>
    </row>
    <row r="407" spans="1:3" ht="12.75">
      <c r="A407" s="3" t="s">
        <v>418</v>
      </c>
      <c r="B407" t="s">
        <v>921</v>
      </c>
      <c r="C407">
        <v>235.09</v>
      </c>
    </row>
    <row r="408" spans="1:3" ht="12.75">
      <c r="A408" s="3" t="s">
        <v>419</v>
      </c>
      <c r="B408" t="s">
        <v>922</v>
      </c>
      <c r="C408">
        <v>102.78</v>
      </c>
    </row>
    <row r="409" spans="1:3" ht="12.75">
      <c r="A409" s="3" t="s">
        <v>420</v>
      </c>
      <c r="B409" t="s">
        <v>923</v>
      </c>
      <c r="C409">
        <v>56.43</v>
      </c>
    </row>
    <row r="410" spans="1:3" ht="12.75">
      <c r="A410" s="3" t="s">
        <v>421</v>
      </c>
      <c r="B410" t="s">
        <v>924</v>
      </c>
      <c r="C410">
        <v>78.08</v>
      </c>
    </row>
    <row r="411" spans="1:3" ht="12.75">
      <c r="A411" s="3" t="s">
        <v>422</v>
      </c>
      <c r="B411" t="s">
        <v>925</v>
      </c>
      <c r="C411">
        <v>33.54</v>
      </c>
    </row>
    <row r="412" spans="1:3" ht="12.75">
      <c r="A412" s="3" t="s">
        <v>423</v>
      </c>
      <c r="B412" t="s">
        <v>926</v>
      </c>
      <c r="C412">
        <v>275.83</v>
      </c>
    </row>
    <row r="413" spans="1:3" ht="12.75">
      <c r="A413" s="3" t="s">
        <v>424</v>
      </c>
      <c r="B413" t="s">
        <v>927</v>
      </c>
      <c r="C413">
        <v>113.27</v>
      </c>
    </row>
    <row r="414" spans="1:3" ht="12.75">
      <c r="A414" s="3" t="s">
        <v>425</v>
      </c>
      <c r="B414" t="s">
        <v>928</v>
      </c>
      <c r="C414">
        <v>52.6</v>
      </c>
    </row>
    <row r="415" spans="1:3" ht="12.75">
      <c r="A415" s="3" t="s">
        <v>426</v>
      </c>
      <c r="B415" t="s">
        <v>929</v>
      </c>
      <c r="C415">
        <v>275.14</v>
      </c>
    </row>
    <row r="416" spans="1:3" ht="12.75">
      <c r="A416" s="3" t="s">
        <v>427</v>
      </c>
      <c r="B416" t="s">
        <v>930</v>
      </c>
      <c r="C416">
        <v>542.69000000000005</v>
      </c>
    </row>
    <row r="417" spans="1:3" ht="12.75">
      <c r="A417" s="3" t="s">
        <v>428</v>
      </c>
      <c r="B417" t="s">
        <v>931</v>
      </c>
      <c r="C417">
        <v>69.61</v>
      </c>
    </row>
    <row r="418" spans="1:3" ht="12.75">
      <c r="A418" s="3" t="s">
        <v>429</v>
      </c>
      <c r="B418" t="s">
        <v>932</v>
      </c>
      <c r="C418">
        <v>120.84</v>
      </c>
    </row>
    <row r="419" spans="1:3" ht="12.75">
      <c r="A419" s="3" t="s">
        <v>430</v>
      </c>
      <c r="B419" t="s">
        <v>933</v>
      </c>
      <c r="C419">
        <v>415.1</v>
      </c>
    </row>
    <row r="420" spans="1:3" ht="12.75">
      <c r="A420" s="3" t="s">
        <v>431</v>
      </c>
      <c r="B420" t="s">
        <v>934</v>
      </c>
      <c r="C420">
        <v>73.67</v>
      </c>
    </row>
    <row r="421" spans="1:3" ht="12.75">
      <c r="A421" s="3" t="s">
        <v>432</v>
      </c>
      <c r="B421" t="s">
        <v>935</v>
      </c>
      <c r="C421">
        <v>203.19</v>
      </c>
    </row>
    <row r="422" spans="1:3" ht="12.75">
      <c r="A422" s="3" t="s">
        <v>433</v>
      </c>
      <c r="B422" t="s">
        <v>936</v>
      </c>
      <c r="C422">
        <v>111.5</v>
      </c>
    </row>
    <row r="423" spans="1:3" ht="12.75">
      <c r="A423" s="3" t="s">
        <v>434</v>
      </c>
      <c r="B423" t="s">
        <v>937</v>
      </c>
      <c r="C423">
        <v>70.38</v>
      </c>
    </row>
    <row r="424" spans="1:3" ht="12.75">
      <c r="A424" s="3" t="s">
        <v>435</v>
      </c>
      <c r="B424" t="s">
        <v>938</v>
      </c>
      <c r="C424">
        <v>76.08</v>
      </c>
    </row>
    <row r="425" spans="1:3" ht="12.75">
      <c r="A425" s="3" t="s">
        <v>436</v>
      </c>
      <c r="B425" t="s">
        <v>939</v>
      </c>
      <c r="C425">
        <v>238.37</v>
      </c>
    </row>
    <row r="426" spans="1:3" ht="12.75">
      <c r="A426" s="3" t="s">
        <v>437</v>
      </c>
      <c r="B426" t="s">
        <v>940</v>
      </c>
      <c r="C426">
        <v>91.41</v>
      </c>
    </row>
    <row r="427" spans="1:3" ht="12.75">
      <c r="A427" s="3" t="s">
        <v>438</v>
      </c>
      <c r="B427" t="s">
        <v>941</v>
      </c>
      <c r="C427">
        <v>94.9</v>
      </c>
    </row>
    <row r="428" spans="1:3" ht="12.75">
      <c r="A428" s="3" t="s">
        <v>439</v>
      </c>
      <c r="B428" t="s">
        <v>942</v>
      </c>
      <c r="C428">
        <v>29.83</v>
      </c>
    </row>
    <row r="429" spans="1:3" ht="12.75">
      <c r="A429" s="3" t="s">
        <v>440</v>
      </c>
      <c r="B429" t="s">
        <v>943</v>
      </c>
      <c r="C429">
        <v>293.64</v>
      </c>
    </row>
    <row r="430" spans="1:3" ht="12.75">
      <c r="A430" s="3" t="s">
        <v>441</v>
      </c>
      <c r="B430" t="s">
        <v>944</v>
      </c>
      <c r="C430">
        <v>72.150000000000006</v>
      </c>
    </row>
    <row r="431" spans="1:3" ht="12.75">
      <c r="A431" s="3" t="s">
        <v>442</v>
      </c>
      <c r="B431" t="s">
        <v>945</v>
      </c>
      <c r="C431">
        <v>16.21</v>
      </c>
    </row>
    <row r="432" spans="1:3" ht="12.75">
      <c r="A432" s="3" t="s">
        <v>443</v>
      </c>
      <c r="B432" t="s">
        <v>946</v>
      </c>
      <c r="C432">
        <v>59.99</v>
      </c>
    </row>
    <row r="433" spans="1:3" ht="12.75">
      <c r="A433" s="3" t="s">
        <v>444</v>
      </c>
      <c r="B433" t="s">
        <v>947</v>
      </c>
      <c r="C433">
        <v>970.73</v>
      </c>
    </row>
    <row r="434" spans="1:3" ht="12.75">
      <c r="A434" s="3" t="s">
        <v>445</v>
      </c>
      <c r="B434" t="s">
        <v>948</v>
      </c>
      <c r="C434">
        <v>399.58</v>
      </c>
    </row>
    <row r="435" spans="1:3" ht="12.75">
      <c r="A435" s="3" t="s">
        <v>446</v>
      </c>
      <c r="B435" t="s">
        <v>949</v>
      </c>
      <c r="C435">
        <v>64.010000000000005</v>
      </c>
    </row>
    <row r="436" spans="1:3" ht="12.75">
      <c r="A436" s="3" t="s">
        <v>447</v>
      </c>
      <c r="B436" t="s">
        <v>950</v>
      </c>
      <c r="C436">
        <v>131.06</v>
      </c>
    </row>
    <row r="437" spans="1:3" ht="12.75">
      <c r="A437" s="3" t="s">
        <v>448</v>
      </c>
      <c r="B437" t="s">
        <v>951</v>
      </c>
      <c r="C437">
        <v>92.49</v>
      </c>
    </row>
    <row r="438" spans="1:3" ht="12.75">
      <c r="A438" s="3" t="s">
        <v>449</v>
      </c>
      <c r="B438" t="s">
        <v>952</v>
      </c>
      <c r="C438">
        <v>31.78</v>
      </c>
    </row>
    <row r="439" spans="1:3" ht="12.75">
      <c r="A439" s="3" t="s">
        <v>450</v>
      </c>
      <c r="B439" t="s">
        <v>953</v>
      </c>
      <c r="C439">
        <v>219.95</v>
      </c>
    </row>
    <row r="440" spans="1:3" ht="12.75">
      <c r="A440" s="3" t="s">
        <v>451</v>
      </c>
      <c r="B440" t="s">
        <v>954</v>
      </c>
      <c r="C440">
        <v>131.46</v>
      </c>
    </row>
    <row r="441" spans="1:3" ht="12.75">
      <c r="A441" s="3" t="s">
        <v>452</v>
      </c>
      <c r="B441" t="s">
        <v>955</v>
      </c>
      <c r="C441">
        <v>89.97</v>
      </c>
    </row>
    <row r="442" spans="1:3" ht="12.75">
      <c r="A442" s="3" t="s">
        <v>453</v>
      </c>
      <c r="B442" t="s">
        <v>956</v>
      </c>
      <c r="C442">
        <v>490.78</v>
      </c>
    </row>
    <row r="443" spans="1:3" ht="12.75">
      <c r="A443" s="3" t="s">
        <v>454</v>
      </c>
      <c r="B443" t="s">
        <v>957</v>
      </c>
      <c r="C443">
        <v>148.97999999999999</v>
      </c>
    </row>
    <row r="444" spans="1:3" ht="12.75">
      <c r="A444" s="3" t="s">
        <v>455</v>
      </c>
      <c r="B444" t="s">
        <v>958</v>
      </c>
      <c r="C444">
        <v>30.58</v>
      </c>
    </row>
    <row r="445" spans="1:3" ht="12.75">
      <c r="A445" s="3" t="s">
        <v>456</v>
      </c>
      <c r="B445" t="s">
        <v>959</v>
      </c>
      <c r="C445">
        <v>87.84</v>
      </c>
    </row>
    <row r="446" spans="1:3" ht="12.75">
      <c r="A446" s="3" t="s">
        <v>457</v>
      </c>
      <c r="B446" t="s">
        <v>960</v>
      </c>
      <c r="C446">
        <v>44.14</v>
      </c>
    </row>
    <row r="447" spans="1:3" ht="12.75">
      <c r="A447" s="3" t="s">
        <v>458</v>
      </c>
      <c r="B447" t="s">
        <v>961</v>
      </c>
      <c r="C447">
        <v>98.28</v>
      </c>
    </row>
    <row r="448" spans="1:3" ht="12.75">
      <c r="A448" s="3" t="s">
        <v>459</v>
      </c>
      <c r="B448" t="s">
        <v>962</v>
      </c>
      <c r="C448">
        <v>177.54</v>
      </c>
    </row>
    <row r="449" spans="1:3" ht="12.75">
      <c r="A449" s="3" t="s">
        <v>460</v>
      </c>
      <c r="B449" t="s">
        <v>963</v>
      </c>
      <c r="C449">
        <v>198.19</v>
      </c>
    </row>
    <row r="450" spans="1:3" ht="12.75">
      <c r="A450" s="3" t="s">
        <v>461</v>
      </c>
      <c r="B450" t="s">
        <v>964</v>
      </c>
      <c r="C450">
        <v>235.45</v>
      </c>
    </row>
    <row r="451" spans="1:3" ht="12.75">
      <c r="A451" s="3" t="s">
        <v>462</v>
      </c>
      <c r="B451" t="s">
        <v>965</v>
      </c>
      <c r="C451">
        <v>48.3</v>
      </c>
    </row>
    <row r="452" spans="1:3" ht="12.75">
      <c r="A452" s="3" t="s">
        <v>463</v>
      </c>
      <c r="B452" t="s">
        <v>966</v>
      </c>
      <c r="C452">
        <v>228.56</v>
      </c>
    </row>
    <row r="453" spans="1:3" ht="12.75">
      <c r="A453" s="3" t="s">
        <v>464</v>
      </c>
      <c r="B453" t="s">
        <v>967</v>
      </c>
      <c r="C453">
        <v>156.32</v>
      </c>
    </row>
    <row r="454" spans="1:3" ht="12.75">
      <c r="A454" s="3" t="s">
        <v>465</v>
      </c>
      <c r="B454" t="s">
        <v>968</v>
      </c>
      <c r="C454">
        <v>153.59</v>
      </c>
    </row>
    <row r="455" spans="1:3" ht="12.75">
      <c r="A455" s="3" t="s">
        <v>466</v>
      </c>
      <c r="B455" t="s">
        <v>969</v>
      </c>
      <c r="C455">
        <v>78.39</v>
      </c>
    </row>
    <row r="456" spans="1:3" ht="12.75">
      <c r="A456" s="3" t="s">
        <v>467</v>
      </c>
      <c r="B456" t="s">
        <v>970</v>
      </c>
      <c r="C456">
        <v>410.12</v>
      </c>
    </row>
    <row r="457" spans="1:3" ht="12.75">
      <c r="A457" s="3" t="s">
        <v>468</v>
      </c>
      <c r="B457" t="s">
        <v>971</v>
      </c>
      <c r="C457">
        <v>39.71</v>
      </c>
    </row>
    <row r="458" spans="1:3" ht="12.75">
      <c r="A458" s="3" t="s">
        <v>469</v>
      </c>
      <c r="B458" t="s">
        <v>972</v>
      </c>
      <c r="C458">
        <v>33.35</v>
      </c>
    </row>
    <row r="459" spans="1:3" ht="12.75">
      <c r="A459" s="3" t="s">
        <v>470</v>
      </c>
      <c r="B459" t="s">
        <v>973</v>
      </c>
      <c r="C459">
        <v>138.72</v>
      </c>
    </row>
    <row r="460" spans="1:3" ht="12.75">
      <c r="A460" s="3" t="s">
        <v>471</v>
      </c>
      <c r="B460" t="s">
        <v>974</v>
      </c>
      <c r="C460">
        <v>414.72</v>
      </c>
    </row>
    <row r="461" spans="1:3" ht="12.75">
      <c r="A461" s="3" t="s">
        <v>472</v>
      </c>
      <c r="B461" t="s">
        <v>975</v>
      </c>
      <c r="C461">
        <v>547.1</v>
      </c>
    </row>
    <row r="462" spans="1:3" ht="12.75">
      <c r="A462" s="3" t="s">
        <v>473</v>
      </c>
      <c r="B462" t="s">
        <v>976</v>
      </c>
      <c r="C462">
        <v>224.28</v>
      </c>
    </row>
    <row r="463" spans="1:3" ht="12.75">
      <c r="A463" s="3" t="s">
        <v>474</v>
      </c>
      <c r="B463" t="s">
        <v>977</v>
      </c>
      <c r="C463">
        <v>152.03</v>
      </c>
    </row>
    <row r="464" spans="1:3" ht="12.75">
      <c r="A464" s="3" t="s">
        <v>475</v>
      </c>
      <c r="B464" t="s">
        <v>978</v>
      </c>
      <c r="C464">
        <v>467.31</v>
      </c>
    </row>
    <row r="465" spans="1:3" ht="12.75">
      <c r="A465" s="3" t="s">
        <v>476</v>
      </c>
      <c r="B465" t="s">
        <v>979</v>
      </c>
      <c r="C465">
        <v>37.200000000000003</v>
      </c>
    </row>
    <row r="466" spans="1:3" ht="12.75">
      <c r="A466" s="3" t="s">
        <v>477</v>
      </c>
      <c r="B466" t="s">
        <v>980</v>
      </c>
      <c r="C466">
        <v>254.3</v>
      </c>
    </row>
    <row r="467" spans="1:3" ht="12.75">
      <c r="A467" s="3" t="s">
        <v>478</v>
      </c>
      <c r="B467" t="s">
        <v>981</v>
      </c>
      <c r="C467">
        <v>16.59</v>
      </c>
    </row>
    <row r="468" spans="1:3" ht="12.75">
      <c r="A468" s="3" t="s">
        <v>479</v>
      </c>
      <c r="B468" t="s">
        <v>982</v>
      </c>
      <c r="C468">
        <v>28.66</v>
      </c>
    </row>
    <row r="469" spans="1:3" ht="12.75">
      <c r="A469" s="3" t="s">
        <v>480</v>
      </c>
      <c r="B469" t="s">
        <v>983</v>
      </c>
      <c r="C469">
        <v>124.96</v>
      </c>
    </row>
    <row r="470" spans="1:3" ht="12.75">
      <c r="A470" s="3" t="s">
        <v>481</v>
      </c>
      <c r="B470" t="s">
        <v>984</v>
      </c>
      <c r="C470">
        <v>74.010000000000005</v>
      </c>
    </row>
    <row r="471" spans="1:3" ht="12.75">
      <c r="A471" s="3" t="s">
        <v>482</v>
      </c>
      <c r="B471" t="s">
        <v>985</v>
      </c>
      <c r="C471">
        <v>211.68</v>
      </c>
    </row>
    <row r="472" spans="1:3" ht="12.75">
      <c r="A472" s="3" t="s">
        <v>483</v>
      </c>
      <c r="B472" t="s">
        <v>986</v>
      </c>
      <c r="C472">
        <v>239.54</v>
      </c>
    </row>
    <row r="473" spans="1:3" ht="12.75">
      <c r="A473" s="3" t="s">
        <v>484</v>
      </c>
      <c r="B473" t="s">
        <v>987</v>
      </c>
      <c r="C473">
        <v>213.23</v>
      </c>
    </row>
    <row r="474" spans="1:3" ht="12.75">
      <c r="A474" s="3" t="s">
        <v>485</v>
      </c>
      <c r="B474" t="s">
        <v>988</v>
      </c>
      <c r="C474">
        <v>353.04</v>
      </c>
    </row>
    <row r="475" spans="1:3" ht="12.75">
      <c r="A475" s="3" t="s">
        <v>486</v>
      </c>
      <c r="B475" t="s">
        <v>989</v>
      </c>
      <c r="C475">
        <v>45.11</v>
      </c>
    </row>
    <row r="476" spans="1:3" ht="12.75">
      <c r="A476" s="3" t="s">
        <v>487</v>
      </c>
      <c r="B476" t="s">
        <v>990</v>
      </c>
      <c r="C476">
        <v>9.43</v>
      </c>
    </row>
    <row r="477" spans="1:3" ht="12.75">
      <c r="A477" s="3" t="s">
        <v>488</v>
      </c>
      <c r="B477" t="s">
        <v>991</v>
      </c>
      <c r="C477">
        <v>37.409999999999997</v>
      </c>
    </row>
    <row r="478" spans="1:3" ht="12.75">
      <c r="A478" s="3" t="s">
        <v>489</v>
      </c>
      <c r="B478" t="s">
        <v>992</v>
      </c>
      <c r="C478">
        <v>117.06</v>
      </c>
    </row>
    <row r="479" spans="1:3" ht="12.75">
      <c r="A479" s="3" t="s">
        <v>490</v>
      </c>
      <c r="B479" t="s">
        <v>993</v>
      </c>
      <c r="C479">
        <v>280.39</v>
      </c>
    </row>
    <row r="480" spans="1:3" ht="12.75">
      <c r="A480" s="3" t="s">
        <v>491</v>
      </c>
      <c r="B480" t="s">
        <v>994</v>
      </c>
      <c r="C480">
        <v>20.85</v>
      </c>
    </row>
    <row r="481" spans="1:3" ht="12.75">
      <c r="A481" s="3" t="s">
        <v>492</v>
      </c>
      <c r="B481" t="s">
        <v>995</v>
      </c>
      <c r="C481">
        <v>10.85</v>
      </c>
    </row>
    <row r="482" spans="1:3" ht="12.75">
      <c r="A482" s="3" t="s">
        <v>493</v>
      </c>
      <c r="B482" t="s">
        <v>996</v>
      </c>
      <c r="C482">
        <v>46.6</v>
      </c>
    </row>
    <row r="483" spans="1:3" ht="12.75">
      <c r="A483" s="3" t="s">
        <v>494</v>
      </c>
      <c r="B483" t="s">
        <v>997</v>
      </c>
      <c r="C483">
        <v>81.599999999999994</v>
      </c>
    </row>
    <row r="484" spans="1:3" ht="12.75">
      <c r="A484" s="3" t="s">
        <v>495</v>
      </c>
      <c r="B484" t="s">
        <v>998</v>
      </c>
      <c r="C484">
        <v>89.62</v>
      </c>
    </row>
    <row r="485" spans="1:3" ht="12.75">
      <c r="A485" s="3" t="s">
        <v>496</v>
      </c>
      <c r="B485" t="s">
        <v>999</v>
      </c>
      <c r="C485">
        <v>42.92</v>
      </c>
    </row>
    <row r="486" spans="1:3" ht="12.75">
      <c r="A486" s="3" t="s">
        <v>497</v>
      </c>
      <c r="B486" t="s">
        <v>1000</v>
      </c>
      <c r="C486">
        <v>109.18</v>
      </c>
    </row>
    <row r="487" spans="1:3" ht="12.75">
      <c r="A487" s="3" t="s">
        <v>498</v>
      </c>
      <c r="B487" t="s">
        <v>1001</v>
      </c>
      <c r="C487">
        <v>172.01</v>
      </c>
    </row>
    <row r="488" spans="1:3" ht="12.75">
      <c r="A488" s="3" t="s">
        <v>499</v>
      </c>
      <c r="B488" t="s">
        <v>1002</v>
      </c>
      <c r="C488">
        <v>36.32</v>
      </c>
    </row>
    <row r="489" spans="1:3" ht="12.75">
      <c r="A489" s="3" t="s">
        <v>500</v>
      </c>
      <c r="B489" t="s">
        <v>1003</v>
      </c>
      <c r="C489">
        <v>156.06</v>
      </c>
    </row>
    <row r="490" spans="1:3" ht="12.75">
      <c r="A490" s="3" t="s">
        <v>501</v>
      </c>
      <c r="B490" t="s">
        <v>1004</v>
      </c>
      <c r="C490">
        <v>71.83</v>
      </c>
    </row>
    <row r="491" spans="1:3" ht="12.75">
      <c r="A491" s="3" t="s">
        <v>502</v>
      </c>
      <c r="B491" t="s">
        <v>1005</v>
      </c>
      <c r="C491">
        <v>37.69</v>
      </c>
    </row>
    <row r="492" spans="1:3" ht="12.75">
      <c r="A492" s="3" t="s">
        <v>503</v>
      </c>
      <c r="B492" t="s">
        <v>1006</v>
      </c>
      <c r="C492">
        <v>353.26</v>
      </c>
    </row>
    <row r="493" spans="1:3" ht="12.75">
      <c r="A493" s="3" t="s">
        <v>504</v>
      </c>
      <c r="B493" t="s">
        <v>1007</v>
      </c>
      <c r="C493">
        <v>244.28</v>
      </c>
    </row>
    <row r="494" spans="1:3" ht="12.75">
      <c r="A494" s="3" t="s">
        <v>505</v>
      </c>
      <c r="B494" t="s">
        <v>1008</v>
      </c>
      <c r="C494">
        <v>31.94</v>
      </c>
    </row>
    <row r="495" spans="1:3" ht="12.75">
      <c r="A495" s="3" t="s">
        <v>506</v>
      </c>
      <c r="B495" t="s">
        <v>1009</v>
      </c>
      <c r="C495">
        <v>88.31</v>
      </c>
    </row>
    <row r="496" spans="1:3" ht="12.75">
      <c r="A496" s="3" t="s">
        <v>507</v>
      </c>
      <c r="B496" t="s">
        <v>1010</v>
      </c>
      <c r="C496">
        <v>60.52</v>
      </c>
    </row>
    <row r="497" spans="1:3" ht="12.75">
      <c r="A497" s="3" t="s">
        <v>508</v>
      </c>
      <c r="B497" t="s">
        <v>1011</v>
      </c>
      <c r="C497">
        <v>104.57</v>
      </c>
    </row>
    <row r="498" spans="1:3" ht="12.75">
      <c r="A498" s="3" t="s">
        <v>509</v>
      </c>
      <c r="B498" t="s">
        <v>1012</v>
      </c>
      <c r="C498">
        <v>31.32</v>
      </c>
    </row>
    <row r="499" spans="1:3" ht="12.75">
      <c r="A499" s="3" t="s">
        <v>510</v>
      </c>
      <c r="B499" t="s">
        <v>1013</v>
      </c>
      <c r="C499">
        <v>103.26</v>
      </c>
    </row>
    <row r="500" spans="1:3" ht="12.75">
      <c r="A500" s="3" t="s">
        <v>511</v>
      </c>
      <c r="B500" t="s">
        <v>1014</v>
      </c>
      <c r="C500">
        <v>128.51</v>
      </c>
    </row>
    <row r="501" spans="1:3" ht="12.75">
      <c r="A501" s="3" t="s">
        <v>512</v>
      </c>
      <c r="B501" t="s">
        <v>1015</v>
      </c>
      <c r="C501">
        <v>113.43</v>
      </c>
    </row>
    <row r="502" spans="1:3" ht="12.75">
      <c r="A502" s="3" t="s">
        <v>513</v>
      </c>
      <c r="B502" t="s">
        <v>1016</v>
      </c>
      <c r="C502">
        <v>228.92</v>
      </c>
    </row>
    <row r="503" spans="1:3" ht="12.75">
      <c r="A503" s="3" t="s">
        <v>514</v>
      </c>
      <c r="B503" t="s">
        <v>1017</v>
      </c>
      <c r="C503">
        <v>34.35</v>
      </c>
    </row>
    <row r="504" spans="1:3" ht="12.75">
      <c r="A504" s="3" t="s">
        <v>515</v>
      </c>
      <c r="B504" t="s">
        <v>1018</v>
      </c>
      <c r="C504">
        <v>180.21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AllStocks</vt:lpstr>
      <vt:lpstr>Prices12_1</vt:lpstr>
      <vt:lpstr>Price11_25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Velianitis, Spiros</dc:creator>
  <cp:lastModifiedBy>Velianitis, Spiros</cp:lastModifiedBy>
  <dcterms:created xsi:type="dcterms:W3CDTF">2024-03-29T00:07:19Z</dcterms:created>
  <dcterms:modified xsi:type="dcterms:W3CDTF">2024-03-29T00:13:57Z</dcterms:modified>
</cp:coreProperties>
</file>